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45" windowWidth="12120" windowHeight="9120" tabRatio="599" activeTab="0"/>
  </bookViews>
  <sheets>
    <sheet name="первон" sheetId="1" r:id="rId1"/>
  </sheets>
  <definedNames>
    <definedName name="_xlnm.Print_Titles" localSheetId="0">'первон'!$8:$9</definedName>
  </definedNames>
  <calcPr fullCalcOnLoad="1"/>
</workbook>
</file>

<file path=xl/sharedStrings.xml><?xml version="1.0" encoding="utf-8"?>
<sst xmlns="http://schemas.openxmlformats.org/spreadsheetml/2006/main" count="2139" uniqueCount="478">
  <si>
    <t>Наименование показателей</t>
  </si>
  <si>
    <t>Раздел</t>
  </si>
  <si>
    <t>Общегосударственные вопросы</t>
  </si>
  <si>
    <t>01</t>
  </si>
  <si>
    <t>02</t>
  </si>
  <si>
    <t>03</t>
  </si>
  <si>
    <t>005</t>
  </si>
  <si>
    <t>04</t>
  </si>
  <si>
    <t>05</t>
  </si>
  <si>
    <t>06</t>
  </si>
  <si>
    <t>07</t>
  </si>
  <si>
    <t>12</t>
  </si>
  <si>
    <t>09</t>
  </si>
  <si>
    <t>08</t>
  </si>
  <si>
    <t>11</t>
  </si>
  <si>
    <t>10</t>
  </si>
  <si>
    <t>ВСЕГО РАСХОДОВ:</t>
  </si>
  <si>
    <t>Подраз-дел</t>
  </si>
  <si>
    <t>00</t>
  </si>
  <si>
    <t>000</t>
  </si>
  <si>
    <t>500</t>
  </si>
  <si>
    <t>013</t>
  </si>
  <si>
    <t>14</t>
  </si>
  <si>
    <t>001</t>
  </si>
  <si>
    <t>003</t>
  </si>
  <si>
    <t>014</t>
  </si>
  <si>
    <t>006</t>
  </si>
  <si>
    <t>019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</si>
  <si>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</si>
  <si>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</si>
  <si>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</si>
  <si>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</si>
  <si>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</si>
  <si>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</si>
  <si>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</si>
  <si>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</si>
  <si>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Национальная экономика</t>
  </si>
  <si>
    <t>Дорожное хозяйство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</si>
  <si>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</si>
  <si>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</si>
  <si>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</si>
  <si>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</si>
  <si>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</si>
  <si>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</si>
  <si>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</si>
  <si>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</si>
  <si>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</si>
  <si>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</si>
  <si>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кинематография, средства массовой информации</t>
  </si>
  <si>
    <t>Культура</t>
  </si>
  <si>
    <t>Здравоохранение, физическая культура и спорт</t>
  </si>
  <si>
    <t>Стационарная медицинская помощь</t>
  </si>
  <si>
    <t>Амбулаторная помощь</t>
  </si>
  <si>
    <t>Физическая культура и спорт</t>
  </si>
  <si>
    <t>Социальная политика</t>
  </si>
  <si>
    <t>Пенсионное обеспечение</t>
  </si>
  <si>
    <t>Социальное обеспечение населения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</si>
  <si>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</si>
  <si>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Глава муниципального образования</t>
  </si>
  <si>
    <t>Центральный аппарат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</si>
  <si>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</si>
  <si>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</si>
  <si>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Процентные платежи по долговым обязательствам</t>
  </si>
  <si>
    <t>Процентные платежи по муниципальному долгу</t>
  </si>
  <si>
    <t>Резервные фонды местных администраций</t>
  </si>
  <si>
    <t>Резервный фонд на предупреждение и ликвидацию последствий чрезвычайных ситуаций и стихийных бедствий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</si>
  <si>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</si>
  <si>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</si>
  <si>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</si>
  <si>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</si>
  <si>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Учреждения по обеспечению хозяйственного обслуживания</t>
  </si>
  <si>
    <t>Бюджетные инвестиции в объекты капитального строительства, не включенные в целевые программы</t>
  </si>
  <si>
    <t>Строительство объектов общегражданского назначения</t>
  </si>
  <si>
    <t>Воинские формирования (органы, подразделения)</t>
  </si>
  <si>
    <t xml:space="preserve">Военный персонал </t>
  </si>
  <si>
    <t>Функционирование органов в сфере национальной безопасности и правоохранительной деятельности</t>
  </si>
  <si>
    <t>Продовольственное обеспечение</t>
  </si>
  <si>
    <t>Вещевое обеспечение</t>
  </si>
  <si>
    <t>Пособия и компенсации военнослужащим, приравненным к ним лицам, а также уволенным из их числа</t>
  </si>
  <si>
    <t>Обеспечение деятельности подведомственных учреждений</t>
  </si>
  <si>
    <t>Содержание автомобильных  дорог общего пользования</t>
  </si>
  <si>
    <t>Мероприятия в области строительства, архитектуры и градостроительства</t>
  </si>
  <si>
    <t xml:space="preserve">Поддержка жилищного хозяйства 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</si>
  <si>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</si>
  <si>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Капитальный ремонт государственного жилищного фонда субъектов Российской Федерации  и муниципального жилищного фонда</t>
  </si>
  <si>
    <t xml:space="preserve">Мероприятия в области жилищного хозяйства </t>
  </si>
  <si>
    <t xml:space="preserve">Поддержка коммунального хозяйства 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</si>
  <si>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</si>
  <si>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Мероприятия в области коммунального хозяйства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</si>
  <si>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</si>
  <si>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</si>
  <si>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</si>
  <si>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</si>
  <si>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</si>
  <si>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Целевые программы муниципальных образований</t>
  </si>
  <si>
    <t>Детские дошкольные учреждения</t>
  </si>
  <si>
    <t>Школы-детские сады, школы начальные, неполные средние и средние</t>
  </si>
  <si>
    <t>Учреждения по внешкольной работе с детьми</t>
  </si>
  <si>
    <t>Организационно-воспитательная работа с молодежью</t>
  </si>
  <si>
    <t>Проведение мероприятий для детей и молодежи</t>
  </si>
  <si>
    <t>Мероприятия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</si>
  <si>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</si>
  <si>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Дворцы и дома культуры, другие учреждения культуры и средств массовой информации</t>
  </si>
  <si>
    <t>Библиотеки</t>
  </si>
  <si>
    <t>Театры, цирки, концертные и другие организации исполнительских искусств</t>
  </si>
  <si>
    <t>Мероприятия в сфере культуры, кинематографии и средств массовой информации</t>
  </si>
  <si>
    <t>Комплектование книжных фондов библиотек муниципальных образований</t>
  </si>
  <si>
    <t>Государственная поддержка в сфере культуры, кинематографии и средств массовой информации</t>
  </si>
  <si>
    <t>Больницы, клиники, госпитали, медико-санитарные части</t>
  </si>
  <si>
    <t>Поликлиники, амбулатории, диагностические центры</t>
  </si>
  <si>
    <t>Центры спортивной подготовки (сборные команды)</t>
  </si>
  <si>
    <t>Физкультурно-оздоровительная работа и спортивные мероприятия</t>
  </si>
  <si>
    <t xml:space="preserve">Мероприятия в области здравоохранения, спорта и физической культуры, туризма </t>
  </si>
  <si>
    <t>Учреждения, обеспечивающие предоставление услуг в сфере здравоохранения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</si>
  <si>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</si>
  <si>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</si>
  <si>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</si>
  <si>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</si>
  <si>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Выполнение функций бюджетными учреждениями</t>
  </si>
  <si>
    <t>Бюджетные инвестиции</t>
  </si>
  <si>
    <t>Социальные выплаты</t>
  </si>
  <si>
    <t>Прочие расходы</t>
  </si>
  <si>
    <t>Функционирование органов в сфере национальной безопасности, правоохранительной деятельности и обороны</t>
  </si>
  <si>
    <t>Субсидии юридическим лицам</t>
  </si>
  <si>
    <t>Выполнение функций органами местного самоуправления</t>
  </si>
  <si>
    <t>Субсидии некоммерческим организациям</t>
  </si>
  <si>
    <t>Судебная система</t>
  </si>
  <si>
    <t>Руководство и управление в сфере установленных функций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</si>
  <si>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</si>
  <si>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</si>
  <si>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Региональные целевые программы</t>
  </si>
  <si>
    <t xml:space="preserve">Ежемесячное денежное вознаграждение за классное руководство </t>
  </si>
  <si>
    <t>Иные безвозмездные и безвозвратные перечисления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</si>
  <si>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</si>
  <si>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Охрана семьи и детства</t>
  </si>
  <si>
    <t>Приложение 5</t>
  </si>
  <si>
    <t xml:space="preserve">в том числе </t>
  </si>
  <si>
    <t>по вопросам местного значения</t>
  </si>
  <si>
    <t xml:space="preserve"> по вопросам местного значения за счёт предпринимательской  деятельности</t>
  </si>
  <si>
    <t>Мероприятия по землеустройству и землепользованию</t>
  </si>
  <si>
    <t>Водные ресурсы</t>
  </si>
  <si>
    <t>Водохозяйственные мероприятия</t>
  </si>
  <si>
    <t>Осуществление капитального ремонта гидротехнических сооружений, находящихся в собственности субъекта Российской Федерации, муниципальной собственности, и бесхозяйственных гидротехнических сооружений</t>
  </si>
  <si>
    <t xml:space="preserve">Руководство и управление  в сфере установленных функций органов государственной власти субъектов Российской Федеорации и органовместного самоуправления </t>
  </si>
  <si>
    <t>Бюджетные инвестиции в объекты капитального строительства собственности муниципальных образований</t>
  </si>
  <si>
    <t>Музеи и постоянные выставки</t>
  </si>
  <si>
    <t>Другие вопросы в области культуры, кинематографии и средств массовой информации</t>
  </si>
  <si>
    <t>Другие вопросы в области здравоохранения,физической культуры и спорта</t>
  </si>
  <si>
    <t>Реализация государственных функций в области здравоохранения, спорта, туризма</t>
  </si>
  <si>
    <t>Мероприятия в области здравоохранения, спорта, туризма</t>
  </si>
  <si>
    <t>Другие вопросы в области социальной политики</t>
  </si>
  <si>
    <t>Другие вопросы в области окружающей среды</t>
  </si>
  <si>
    <t>012</t>
  </si>
  <si>
    <t>Выполнение функций государственными органами</t>
  </si>
  <si>
    <t xml:space="preserve">Центральный аппарат </t>
  </si>
  <si>
    <t>Выполнение функций  бюджетными учреждениями</t>
  </si>
  <si>
    <t>Реализация государственных функций в области национальной экономики</t>
  </si>
  <si>
    <t>Развитие социальной и инженерной инфраструктуры субъектов Российской Федерации и муниципальных образований</t>
  </si>
  <si>
    <t xml:space="preserve">Развитие социальной и инженерной инфраструктуры </t>
  </si>
  <si>
    <t>Внедрение инновационных образовательных программ</t>
  </si>
  <si>
    <t>Скорая медицинская помощь</t>
  </si>
  <si>
    <t>Заготовка, переработка, хранение и обеспечение безопасности донорской крови и ее компонентов</t>
  </si>
  <si>
    <t>Центы, станции и отделения переливания  крови</t>
  </si>
  <si>
    <t>Социальная помощь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</si>
  <si>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</t>
  </si>
  <si>
    <t>002 00 00</t>
  </si>
  <si>
    <t>002 03 00</t>
  </si>
  <si>
    <t>002 04 00</t>
  </si>
  <si>
    <t>002 11 00</t>
  </si>
  <si>
    <t>002 12 00</t>
  </si>
  <si>
    <t>001 00 00</t>
  </si>
  <si>
    <t>001 40 00</t>
  </si>
  <si>
    <t>065 00 00</t>
  </si>
  <si>
    <t>065 03 00</t>
  </si>
  <si>
    <t>070 00 00</t>
  </si>
  <si>
    <t>070 05 00</t>
  </si>
  <si>
    <t>070 05 02</t>
  </si>
  <si>
    <t>090 00 00</t>
  </si>
  <si>
    <t>090 02 00</t>
  </si>
  <si>
    <t>092 00 00</t>
  </si>
  <si>
    <t>092 03 00</t>
  </si>
  <si>
    <t>202 00 00</t>
  </si>
  <si>
    <t>202 01 00</t>
  </si>
  <si>
    <t>202 58 00</t>
  </si>
  <si>
    <t>202 67 00</t>
  </si>
  <si>
    <t>202 71 00</t>
  </si>
  <si>
    <t>202 72 00</t>
  </si>
  <si>
    <t>202 76 00</t>
  </si>
  <si>
    <t>280 00 00</t>
  </si>
  <si>
    <t>280 03 00</t>
  </si>
  <si>
    <t>315 02 03</t>
  </si>
  <si>
    <t>338 00 00</t>
  </si>
  <si>
    <t>340 00 00</t>
  </si>
  <si>
    <t>340 03 00</t>
  </si>
  <si>
    <t>102 00 00</t>
  </si>
  <si>
    <t>102 01 02</t>
  </si>
  <si>
    <t>102 02 00</t>
  </si>
  <si>
    <t>350 00 00</t>
  </si>
  <si>
    <t>350 01 00</t>
  </si>
  <si>
    <t>350 02 00</t>
  </si>
  <si>
    <t>350 03 00</t>
  </si>
  <si>
    <t>522 00 00</t>
  </si>
  <si>
    <t>102 01 00</t>
  </si>
  <si>
    <t>351 00 00</t>
  </si>
  <si>
    <t>351 02 00</t>
  </si>
  <si>
    <t>351 05 00</t>
  </si>
  <si>
    <t>795 00 00</t>
  </si>
  <si>
    <t>795 00 01</t>
  </si>
  <si>
    <t>600 00 00</t>
  </si>
  <si>
    <t>600 01 00</t>
  </si>
  <si>
    <t>600 02 00</t>
  </si>
  <si>
    <t>600 03 00</t>
  </si>
  <si>
    <t>600 04 00</t>
  </si>
  <si>
    <t>600 05 00</t>
  </si>
  <si>
    <t>523 00 00</t>
  </si>
  <si>
    <t>420 00 00</t>
  </si>
  <si>
    <t>420 99 00</t>
  </si>
  <si>
    <t>420 99 03</t>
  </si>
  <si>
    <t>421 00 00</t>
  </si>
  <si>
    <t>421 99 00</t>
  </si>
  <si>
    <t>421 99 03</t>
  </si>
  <si>
    <t>423 00 00</t>
  </si>
  <si>
    <t>423 99 00</t>
  </si>
  <si>
    <t>423 99 03</t>
  </si>
  <si>
    <t>520 00 00</t>
  </si>
  <si>
    <t>520 09 00</t>
  </si>
  <si>
    <t>431 00 00</t>
  </si>
  <si>
    <t>431 01 00</t>
  </si>
  <si>
    <t>436 00 00</t>
  </si>
  <si>
    <t>452 00 00</t>
  </si>
  <si>
    <t>452 99 00</t>
  </si>
  <si>
    <t>452 99 03</t>
  </si>
  <si>
    <t>440 00 00</t>
  </si>
  <si>
    <t>440 99 00</t>
  </si>
  <si>
    <t>440 99 03</t>
  </si>
  <si>
    <t>441 00 00</t>
  </si>
  <si>
    <t>441 99 00</t>
  </si>
  <si>
    <t>441 99 03</t>
  </si>
  <si>
    <t>442 00 00</t>
  </si>
  <si>
    <t>442 99 00</t>
  </si>
  <si>
    <t>442 99 03</t>
  </si>
  <si>
    <t>443 00 00</t>
  </si>
  <si>
    <t>443 99 00</t>
  </si>
  <si>
    <t>443 99 03</t>
  </si>
  <si>
    <t>450 00 00</t>
  </si>
  <si>
    <t>450 06 00</t>
  </si>
  <si>
    <t>450 85 00</t>
  </si>
  <si>
    <t>795 00 02</t>
  </si>
  <si>
    <t>470 00 00</t>
  </si>
  <si>
    <t>470 99 00</t>
  </si>
  <si>
    <t>470 99 03</t>
  </si>
  <si>
    <t>471 00 00</t>
  </si>
  <si>
    <t>471 99 00</t>
  </si>
  <si>
    <t>471 99 03</t>
  </si>
  <si>
    <t>520 18 00</t>
  </si>
  <si>
    <t>472 00 00</t>
  </si>
  <si>
    <t>472 99 00</t>
  </si>
  <si>
    <t>482 00 00</t>
  </si>
  <si>
    <t>482 99 00</t>
  </si>
  <si>
    <t>482 99 03</t>
  </si>
  <si>
    <t>512 00 00</t>
  </si>
  <si>
    <t>512 97 00</t>
  </si>
  <si>
    <t>469 00 00</t>
  </si>
  <si>
    <t>469 99 00</t>
  </si>
  <si>
    <t>469 99 03</t>
  </si>
  <si>
    <t>485 00 00</t>
  </si>
  <si>
    <t>485 97 00</t>
  </si>
  <si>
    <t>491 00 00</t>
  </si>
  <si>
    <t>491 01 00</t>
  </si>
  <si>
    <t>505 00 00</t>
  </si>
  <si>
    <t>505 33 00</t>
  </si>
  <si>
    <t>514 00 00</t>
  </si>
  <si>
    <t>514 01 00</t>
  </si>
  <si>
    <t>514 05 00</t>
  </si>
  <si>
    <t>Совершенствавание организации питания учащихся в общеобразовательных учреждениях</t>
  </si>
  <si>
    <t>436 12 00</t>
  </si>
  <si>
    <t>по переданным полномочиям</t>
  </si>
  <si>
    <t>тыс.руб.</t>
  </si>
  <si>
    <t>ЦС</t>
  </si>
  <si>
    <t>ВР</t>
  </si>
  <si>
    <t>485 97 10</t>
  </si>
  <si>
    <t>485 97 11</t>
  </si>
  <si>
    <t xml:space="preserve">Субсидии юридическим лицам </t>
  </si>
  <si>
    <t>002 04 20</t>
  </si>
  <si>
    <t>001 40 21</t>
  </si>
  <si>
    <t>002 04 23</t>
  </si>
  <si>
    <t>202 01 22</t>
  </si>
  <si>
    <t>202 58 22</t>
  </si>
  <si>
    <t>202 67 22</t>
  </si>
  <si>
    <t>202 71 22</t>
  </si>
  <si>
    <t>202 72 22</t>
  </si>
  <si>
    <t>202 76 22</t>
  </si>
  <si>
    <t>420 99 28</t>
  </si>
  <si>
    <t>420 99 29</t>
  </si>
  <si>
    <t>421 99 25</t>
  </si>
  <si>
    <t>421 99 29</t>
  </si>
  <si>
    <t>423 99 29</t>
  </si>
  <si>
    <t>436 12 51</t>
  </si>
  <si>
    <t>450 06 54</t>
  </si>
  <si>
    <t>470 99 30</t>
  </si>
  <si>
    <t>470 99 32</t>
  </si>
  <si>
    <t>520 18 52</t>
  </si>
  <si>
    <t>Предоставление мер отдельным группам населения социальной поодержке в лекарственном обеспечении</t>
  </si>
  <si>
    <t>520 10 26</t>
  </si>
  <si>
    <t>Целевые программы муниципального образования</t>
  </si>
  <si>
    <t>420 99 26</t>
  </si>
  <si>
    <t>520 10 00</t>
  </si>
  <si>
    <t>Обеспечение деятельности комиссии по делам несовершеннолетних и защите их прав</t>
  </si>
  <si>
    <t>Обеспечение деятельности по регистрации и ведению учёта граждан, выехавших из районов Крайнего Севера</t>
  </si>
  <si>
    <t>Военный персонал  медвытрезвителя</t>
  </si>
  <si>
    <t>Функционирование медвытрезвителя в сфере национальной безопасности и правоохранительной деятельности</t>
  </si>
  <si>
    <t>Продовольственное обеспечение медвытрезвителя</t>
  </si>
  <si>
    <t>Вещевое обеспечение медвытрезвителя</t>
  </si>
  <si>
    <t>Пособия и компенсации военнослужащим, приравненным к ним лицам, а также уволенным из их числа по медвытрезвителю</t>
  </si>
  <si>
    <t>Обеспечение деятельности подведомственных учреждений за счет платных услуг</t>
  </si>
  <si>
    <t>Возмещение расходов учреждениям по родительской плате</t>
  </si>
  <si>
    <t>Воспитание и обучение детей-инвалидов в дошкольных учреждениях</t>
  </si>
  <si>
    <t>Реализация социальных гарантий, предоставляемых педагогическим работникам</t>
  </si>
  <si>
    <t xml:space="preserve">Выполнение функций бюджетными учреждениями </t>
  </si>
  <si>
    <t>Реализация основных общеобразовательных программ в части финансирования расходов на оплату труда работникам муниципальных общеобразовательных учреждений, расходов, обнспечивающих организацию учебного процесса</t>
  </si>
  <si>
    <t>Совершенствавание организации питания учащихся в общеобразовательных учреждениях за счет областного бюджета</t>
  </si>
  <si>
    <t>Комплектование книжных фондов библиотек муниципальных образований за счет областного бюджета</t>
  </si>
  <si>
    <t>Обеспечение питанием детей в возрасте до трех лет по заключению врачей</t>
  </si>
  <si>
    <t>На проведение заключительной дезинфекции в очагах инфекционных заболеваний</t>
  </si>
  <si>
    <t>Мероприятия в области здравоохранения,спорта, туризма (санитарно-эпидемиологические мероприятия)</t>
  </si>
  <si>
    <t>Мероприятия в области здравоохранения,спорта, туризма (оплата расходов по оказанию услуг отдельным категориям граждан)</t>
  </si>
  <si>
    <t>Компенсация части родительской платы за содержание ребенка в муниципальных образовательных учреждениях, реализующих основную общеобразовательную программу</t>
  </si>
  <si>
    <t>093 99 00</t>
  </si>
  <si>
    <t>Целевая программа муниципального образования "Развитие систем водоснабжения и водоотведения г.Великие Луки на 2005-2009 годы"</t>
  </si>
  <si>
    <t>Совершенствавание организации питания учащихся в общеобразовательных учреждениях за счет платных услуг</t>
  </si>
  <si>
    <t>436 12 03</t>
  </si>
  <si>
    <t>795 00 05</t>
  </si>
  <si>
    <t>Целевая программа муниципального образования "Ремонт тротуаров"</t>
  </si>
  <si>
    <t>523 01 56</t>
  </si>
  <si>
    <t>520 09 24</t>
  </si>
  <si>
    <t>280 03 55</t>
  </si>
  <si>
    <t>Капитальный ремонт многоквартирных жилих домов и на переселение граждан из жилищного фонда, признаного непригодным для проживания</t>
  </si>
  <si>
    <t>795 00 06</t>
  </si>
  <si>
    <t>470 99 31</t>
  </si>
  <si>
    <t>476 00 00</t>
  </si>
  <si>
    <t>476 99 00</t>
  </si>
  <si>
    <t>Родильные дома</t>
  </si>
  <si>
    <t>Медицинская помощь в дневных стационарах всех типов</t>
  </si>
  <si>
    <t>518 00 00</t>
  </si>
  <si>
    <t>Реформирование региональных и муниципальных финансов</t>
  </si>
  <si>
    <t>Реформирование региональных финансов</t>
  </si>
  <si>
    <t>518 01 01</t>
  </si>
  <si>
    <t>ОЦП "Развитие сети спортивных плоскостных сооружений в Псковской области в 2008-2010 годы"</t>
  </si>
  <si>
    <t>522 15 57</t>
  </si>
  <si>
    <t>Глава местной администрации (исполнительно-распорядительного органа муниципального образования)</t>
  </si>
  <si>
    <t>002 08 00</t>
  </si>
  <si>
    <t>350 02 53</t>
  </si>
  <si>
    <t>436 02 58</t>
  </si>
  <si>
    <t>470 99 58</t>
  </si>
  <si>
    <t xml:space="preserve">09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</si>
  <si>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</si>
  <si>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0020000</t>
  </si>
  <si>
    <t xml:space="preserve">06 </t>
  </si>
  <si>
    <t>0020400</t>
  </si>
  <si>
    <t>Руководитель контрольно-счетной палаты муниципального образования и его заместители</t>
  </si>
  <si>
    <t>0022500</t>
  </si>
  <si>
    <t>Расходы на финансовое 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 терапевтов учасковых</t>
  </si>
  <si>
    <t>Капитальный ремонт гидротехнических сооружений, находящихся в собственности субъекта Российской Федерации, муниципальной собственности, и бесхозяйственных гидротехнических сооружений (за счет областного бюджета)</t>
  </si>
  <si>
    <t>Капитальный ремонт гидротехнических сооружений, находящихся в собственности субъекта Российской Федерации, муниципальной собственности, и бесхозяйственных гидротехнических сооружений (за счет федерального бюджета)</t>
  </si>
  <si>
    <t>280 03 59</t>
  </si>
  <si>
    <t>к решению Великолукской городской Думы</t>
  </si>
  <si>
    <t>Мероприятия в области здравоохранения, спорта и физической культуры, туризма за счет платных услуг</t>
  </si>
  <si>
    <t>512 97 03</t>
  </si>
  <si>
    <t>520 10 33</t>
  </si>
  <si>
    <t>Компенсация части родительской платы за содержание ребенка в муниципальных образовательных учреждениях, реализующих основную общеобразовательную программу, софинансирование за счет средств областного бюджета</t>
  </si>
  <si>
    <t>510 03 00</t>
  </si>
  <si>
    <t>Общеэкономические вопросы</t>
  </si>
  <si>
    <t>Мероприятия на рынке труда</t>
  </si>
  <si>
    <t>Реализация дополнительных мероприятий, направленных на снижение напряженности на рынке труда (некоммерческие небюджетные учреждения)</t>
  </si>
  <si>
    <t>795 00 04</t>
  </si>
  <si>
    <t>Развитие социальной и инженерной инфраструктуры (ремонт крыши краеведческого музея)</t>
  </si>
  <si>
    <t>523 01 61</t>
  </si>
  <si>
    <t>Целевая программа муниципального образования "Развитие малого и среднего предпринимательства в городе Великие Луки на 2009-2011 годы"</t>
  </si>
  <si>
    <t>340 02 00</t>
  </si>
  <si>
    <t>Взносы в уставной капитал (МУП "Тепловые сети")</t>
  </si>
  <si>
    <t>Распределение бюджетных ассигнований по разделам, подразделам, целевым статьям и видам расходов классификации расходов бюджетов на 2010 год</t>
  </si>
  <si>
    <t>План на 2010 год</t>
  </si>
  <si>
    <t>Муниципальные целевые программы</t>
  </si>
  <si>
    <t>795 00 08</t>
  </si>
  <si>
    <t>Муниципальны целевые программы</t>
  </si>
  <si>
    <t>795 00 09</t>
  </si>
  <si>
    <t>Обеспечение мероприятий по переселению граждан из аварийного жилищного фонда за счет средст городского бюджета</t>
  </si>
  <si>
    <t>098 02 02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</si>
  <si>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 бюджетов </t>
  </si>
  <si>
    <t>098 02 00</t>
  </si>
  <si>
    <t>Бюджетные инвестиции в объекты капитального строительства собственности муниципальных образований (полигон)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</si>
  <si>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</si>
  <si>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Региональны целевые программы </t>
  </si>
  <si>
    <t>Областная долгосрочная целевая программа "Культура Псковского региона в 2007-2010 гг."</t>
  </si>
  <si>
    <t>522 36 00</t>
  </si>
  <si>
    <t>Областная долгосрочная целевая программа "Развитие системы образования в Псковской области на 2009-2011гг."</t>
  </si>
  <si>
    <t>522 24 00</t>
  </si>
  <si>
    <t>Развитие социальной и инженерной инфраструктуры (газовая котельная №1)</t>
  </si>
  <si>
    <t>Областная долгосрочная целевая программа "Развитие физической культуры и спорта в Псковской области на 2009-2011 годы" (спортивная площадка школы №12)</t>
  </si>
  <si>
    <t>Развитие социальной и инженерной инфраструктуры (капремонт здания по ул.Л.Чайкиной под помещение д/сада)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</si>
  <si>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в рамках реализации областной долгосрочной целевой программы "Демографическая политика в Псковской области на 2009-2012 гг."</t>
  </si>
  <si>
    <t>Муниципальная целевая программа "Комплексные меры по усилению борьбы с преступностью в городе Великие Луки на 2010-2012 годы"</t>
  </si>
  <si>
    <t>Муниципальная целевая программа "Развитие здравоохранения муниципального образования "Город Великие Луки" на 2010-2020 годы"</t>
  </si>
  <si>
    <t>Муниципальная целевая программа "Комплексные меры противодействия злоупотреблению наркотиками и их незаконному обороту в городе Великие Луки на 2010-2014 годы"</t>
  </si>
  <si>
    <t>795 00 10</t>
  </si>
  <si>
    <t>Муниципальная целевая программа "Профилактика безнадзорности и правонарушений среди несовершеннолетних в г.Великие Луки на 2010-2012 годы"</t>
  </si>
  <si>
    <t>795 00 11</t>
  </si>
  <si>
    <t>Муниципальная целевая программа "Обеспечение мер пожарной безопасности в границах муниципального образования "Город Великие Луки" на 2009-2011 годы"</t>
  </si>
  <si>
    <t>795 00 12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</si>
  <si>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</si>
  <si>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</si>
  <si>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Муниципальная целевая программа "Противодействие коррупции в органах управления и структурных подразделениях Администрации города Великие Луки" на 2009-2012 годы"</t>
  </si>
  <si>
    <t>795 00 13</t>
  </si>
  <si>
    <t>795 00 14</t>
  </si>
  <si>
    <t>Обеспечение проведения выборов и референдумов</t>
  </si>
  <si>
    <t>Мероприятия в области здравоохранения,спорта, туризма (Красный Крест)</t>
  </si>
  <si>
    <t>485 97 12</t>
  </si>
  <si>
    <t>Другие вопросы в области жилищно-коммунального хозяйства</t>
  </si>
  <si>
    <t>Областная долгосрочная целевая программа "Обеспечение врачей общей практики (семейных врачей) Псковской области легковым автотранспортом, мебелью, оборудованием и помещениями в 2010г."</t>
  </si>
  <si>
    <t>Программа комплексного развития коммунальной инфраструктуры г.Великие Луки на 2009-2016 годы</t>
  </si>
  <si>
    <t>Проведение выборов и референдумов</t>
  </si>
  <si>
    <t>020 00 00</t>
  </si>
  <si>
    <t>Расходы, связанные спроведением выборов в представительные органы муниципального образования</t>
  </si>
  <si>
    <t>020 00 02</t>
  </si>
  <si>
    <t>Муниципальная целевая программа "Благоустроенный двор города Великие Луки на 2010 год"</t>
  </si>
  <si>
    <t>Муниципальная целевая программа "Переселение граждан из ветхого и аварийного жилищного фонда в городе Великие Луки на 2010 год"</t>
  </si>
  <si>
    <t>795 00 15</t>
  </si>
  <si>
    <t xml:space="preserve">522 09 00 </t>
  </si>
  <si>
    <t>522 09 00</t>
  </si>
  <si>
    <t>522 4100</t>
  </si>
  <si>
    <t>522 41 00</t>
  </si>
  <si>
    <t>522 14 00</t>
  </si>
  <si>
    <t>Федеральная целевая программа «Жилище» на 2002 - 2010 годы (второй этап)</t>
  </si>
  <si>
    <t>104 02 00</t>
  </si>
  <si>
    <t>Подпрограмма «Обеспечение жильем молодых семей»</t>
  </si>
  <si>
    <t>522 23 00</t>
  </si>
  <si>
    <t>ОДЦП "Обеспечение жильем молодых семей Псковской области на 2008-2010 годы"</t>
  </si>
  <si>
    <t>Муниципальная целевая программа газификация города Великие Луки на 2010-2012 годы</t>
  </si>
  <si>
    <t>795 00 16</t>
  </si>
  <si>
    <t>068</t>
  </si>
  <si>
    <t>Проведение противоаварийных мероприятий в зданиях муниципальных общеобразовательных учреждений (в рамках капитального ремонта гимназии)</t>
  </si>
  <si>
    <t>436 15 00</t>
  </si>
  <si>
    <t>Строительство комплекса Воинской Славы в рамках областной целевой программы "Соц.поддержка инвалидов и граждан пожилого возраста в Псковской области на 2007-2011 годы"</t>
  </si>
  <si>
    <t>Развитие социальной и инженерной инфрастуктуры субъектов РФ и муниципальных образований</t>
  </si>
  <si>
    <t>Развитие социальной и инженерной инфраструктуры</t>
  </si>
  <si>
    <t>Целевая программа муниципального образования "Повышение надежности систем теплоснабжения г.Великие Луки на 2008-2010 годы"</t>
  </si>
  <si>
    <t>Развитие социальной и инженерной инфраструктуры (котельная по ул.Новоселенинской)</t>
  </si>
  <si>
    <t>522 32 00</t>
  </si>
  <si>
    <t>Целевая программа муниципального образования "Развитие систем водоснабжения и водоотведения г.Великие Луки на 2005-2010 годы"</t>
  </si>
  <si>
    <t>Субсидии отдельным общественным организациям и иным некоммерческим объединениям (общество слепых)</t>
  </si>
  <si>
    <t>Содействие развитию жилищного строительства</t>
  </si>
  <si>
    <t>098 00 00</t>
  </si>
  <si>
    <t xml:space="preserve"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жилщно-коммунального хозяйства </t>
  </si>
  <si>
    <t>Обеспечение мероприятий по капитальному ремонту многоквартирных домов за счет средств областного бюджета</t>
  </si>
  <si>
    <t>098 01 01</t>
  </si>
  <si>
    <t>098 02 01</t>
  </si>
  <si>
    <t>Мероприятия на рынке труда (временная занятость несовершеннолетних в период каникул)</t>
  </si>
  <si>
    <t>Реализация дополнительных мероприятий, направленных на снижение напряженности на рынке труда Псковской области</t>
  </si>
  <si>
    <t>510 03 99</t>
  </si>
  <si>
    <t xml:space="preserve">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жилщно-коммунального хозяйства </t>
  </si>
  <si>
    <t>098 01 02</t>
  </si>
  <si>
    <t>Обеспечение мероприятий по переселению граждан из аварийного жилищного фонда за счет средств областного бюджета</t>
  </si>
  <si>
    <t>Взносы в уставной капитал (МП "Водоканал")</t>
  </si>
  <si>
    <t>340 02 01</t>
  </si>
  <si>
    <t>340 02 02</t>
  </si>
  <si>
    <t>Взносы в уставной капитал (МУП "Стоматологический центр")</t>
  </si>
  <si>
    <t>340 02 03</t>
  </si>
  <si>
    <t>001 43 00</t>
  </si>
  <si>
    <t>Осуществление полномочий по подготовке и проведению всероссийской переписи</t>
  </si>
  <si>
    <t>795 00 07</t>
  </si>
  <si>
    <t>Содержание автомобильных дорог и инженерных сооружений на них в границах городских округов и поселений в рамках благоустройства за счет спонсорской помощи</t>
  </si>
  <si>
    <t>Муниципальная целевая программа "Обеспечение безопасности эксплуатации здания МУП "Городской парк культуры и отдыха г.Великие Луки"</t>
  </si>
  <si>
    <t>523 01 63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</si>
  <si>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</si>
  <si>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345 01 00</t>
  </si>
  <si>
    <t>Государственная поддержка малого и среднего предпринимательства, включая крестьянские (фермерские) хозяйства</t>
  </si>
  <si>
    <t>345 01 63</t>
  </si>
  <si>
    <t xml:space="preserve"> от 30.09.2010г. №78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</si>
</sst>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\ &quot;р.&quot;;\-#,##0\ &quot;р.&quot;"/>
    <numFmt numFmtId="166" formatCode="#,##0\ &quot;р.&quot;;[Red]\-#,##0\ &quot;р.&quot;"/>
    <numFmt numFmtId="167" formatCode="#,##0.00\ &quot;р.&quot;;\-#,##0.00\ &quot;р.&quot;"/>
    <numFmt numFmtId="168" formatCode="#,##0.00\ &quot;р.&quot;;[Red]\-#,##0.00\ &quot;р.&quot;"/>
    <numFmt numFmtId="169" formatCode="_-* #,##0\ &quot;р.&quot;_-;\-* #,##0\ &quot;р.&quot;_-;_-* &quot;-&quot;\ &quot;р.&quot;_-;_-@_-"/>
    <numFmt numFmtId="170" formatCode="_-* #,##0\ _р_._-;\-* #,##0\ _р_._-;_-* &quot;-&quot;\ _р_._-;_-@_-"/>
    <numFmt numFmtId="171" formatCode="_-* #,##0.00\ &quot;р.&quot;_-;\-* #,##0.00\ &quot;р.&quot;_-;_-* &quot;-&quot;??\ &quot;р.&quot;_-;_-@_-"/>
    <numFmt numFmtId="172" formatCode="_-* #,##0.00\ _р_._-;\-* #,##0.00\ _р_._-;_-* &quot;-&quot;??\ 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"/>
  </numFmts>
  <fonts count="17">
    <font>
      <sz val="10"/>
      <name val="Arial Cyr"/>
      <family val="0"/>
    </font>
    <font>
      <sz val="14"/>
      <name val="Arial Cyr"/>
      <family val="0"/>
    </font>
    <font>
      <sz val="14"/>
      <name val="Times New Roman CYR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12"/>
      <name val="Times New Roman"/>
      <family val="1"/>
    </font>
    <font>
      <sz val="14"/>
      <color indexed="48"/>
      <name val="Times New Roman"/>
      <family val="1"/>
    </font>
    <font>
      <i/>
      <sz val="14"/>
      <name val="Times New Roman"/>
      <family val="1"/>
    </font>
    <font>
      <i/>
      <sz val="14"/>
      <color indexed="12"/>
      <name val="Times New Roman"/>
      <family val="1"/>
    </font>
    <font>
      <b/>
      <sz val="14"/>
      <color indexed="48"/>
      <name val="Times New Roman"/>
      <family val="1"/>
    </font>
    <font>
      <i/>
      <sz val="14"/>
      <color indexed="48"/>
      <name val="Times New Roman"/>
      <family val="1"/>
    </font>
    <font>
      <b/>
      <sz val="14"/>
      <color indexed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4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center" wrapText="1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49" fontId="4" fillId="0" borderId="1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4" fillId="0" borderId="1" xfId="0" applyNumberFormat="1" applyFont="1" applyFill="1" applyBorder="1" applyAlignment="1">
      <alignment horizontal="center" vertical="top"/>
    </xf>
    <xf numFmtId="0" fontId="6" fillId="0" borderId="0" xfId="0" applyFont="1" applyFill="1" applyAlignment="1">
      <alignment/>
    </xf>
    <xf numFmtId="49" fontId="4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3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49" fontId="3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wrapText="1"/>
    </xf>
    <xf numFmtId="49" fontId="4" fillId="0" borderId="0" xfId="0" applyNumberFormat="1" applyFont="1" applyFill="1" applyAlignment="1">
      <alignment horizontal="center" wrapText="1"/>
    </xf>
    <xf numFmtId="49" fontId="4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wrapText="1"/>
    </xf>
    <xf numFmtId="49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49" fontId="7" fillId="0" borderId="1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top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8" fillId="0" borderId="0" xfId="0" applyFont="1" applyFill="1" applyAlignment="1">
      <alignment/>
    </xf>
    <xf numFmtId="176" fontId="7" fillId="0" borderId="1" xfId="0" applyNumberFormat="1" applyFont="1" applyFill="1" applyBorder="1" applyAlignment="1">
      <alignment vertical="top" wrapText="1"/>
    </xf>
    <xf numFmtId="176" fontId="7" fillId="0" borderId="1" xfId="0" applyNumberFormat="1" applyFont="1" applyFill="1" applyBorder="1" applyAlignment="1">
      <alignment vertical="top"/>
    </xf>
    <xf numFmtId="49" fontId="7" fillId="0" borderId="1" xfId="0" applyNumberFormat="1" applyFont="1" applyFill="1" applyBorder="1" applyAlignment="1">
      <alignment horizontal="center" vertical="top"/>
    </xf>
    <xf numFmtId="0" fontId="15" fillId="0" borderId="0" xfId="0" applyFont="1" applyFill="1" applyAlignment="1">
      <alignment/>
    </xf>
    <xf numFmtId="176" fontId="4" fillId="0" borderId="1" xfId="0" applyNumberFormat="1" applyFont="1" applyFill="1" applyBorder="1" applyAlignment="1">
      <alignment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49" fontId="16" fillId="0" borderId="1" xfId="0" applyNumberFormat="1" applyFont="1" applyFill="1" applyBorder="1" applyAlignment="1" applyProtection="1">
      <alignment horizontal="center" vertical="top" wrapText="1"/>
      <protection locked="0"/>
    </xf>
    <xf numFmtId="176" fontId="4" fillId="0" borderId="1" xfId="0" applyNumberFormat="1" applyFont="1" applyFill="1" applyBorder="1" applyAlignment="1">
      <alignment vertical="top" wrapText="1"/>
    </xf>
    <xf numFmtId="176" fontId="3" fillId="0" borderId="1" xfId="0" applyNumberFormat="1" applyFont="1" applyFill="1" applyBorder="1" applyAlignment="1">
      <alignment vertical="top" wrapText="1"/>
    </xf>
    <xf numFmtId="176" fontId="3" fillId="0" borderId="1" xfId="0" applyNumberFormat="1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/>
    </xf>
    <xf numFmtId="176" fontId="3" fillId="2" borderId="1" xfId="0" applyNumberFormat="1" applyFont="1" applyFill="1" applyBorder="1" applyAlignment="1">
      <alignment vertical="top" wrapText="1"/>
    </xf>
    <xf numFmtId="164" fontId="4" fillId="0" borderId="2" xfId="0" applyNumberFormat="1" applyFont="1" applyFill="1" applyBorder="1" applyAlignment="1" applyProtection="1">
      <alignment horizontal="left" vertical="top" wrapText="1"/>
      <protection locked="0"/>
    </xf>
    <xf numFmtId="49" fontId="4" fillId="0" borderId="1" xfId="0" applyNumberFormat="1" applyFont="1" applyFill="1" applyBorder="1" applyAlignment="1" applyProtection="1">
      <alignment horizontal="center" vertical="top" wrapText="1"/>
      <protection locked="0"/>
    </xf>
    <xf numFmtId="0" fontId="7" fillId="0" borderId="1" xfId="0" applyFont="1" applyFill="1" applyBorder="1" applyAlignment="1">
      <alignment/>
    </xf>
    <xf numFmtId="0" fontId="3" fillId="2" borderId="2" xfId="0" applyFont="1" applyFill="1" applyBorder="1" applyAlignment="1">
      <alignment horizontal="left" vertical="top" wrapText="1"/>
    </xf>
    <xf numFmtId="176" fontId="3" fillId="2" borderId="3" xfId="0" applyNumberFormat="1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top" wrapText="1"/>
    </xf>
    <xf numFmtId="176" fontId="3" fillId="0" borderId="3" xfId="0" applyNumberFormat="1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left" vertical="top" wrapText="1"/>
    </xf>
    <xf numFmtId="176" fontId="4" fillId="0" borderId="3" xfId="0" applyNumberFormat="1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left" vertical="top" wrapText="1"/>
    </xf>
    <xf numFmtId="176" fontId="7" fillId="0" borderId="3" xfId="0" applyNumberFormat="1" applyFont="1" applyFill="1" applyBorder="1" applyAlignment="1">
      <alignment vertical="top"/>
    </xf>
    <xf numFmtId="176" fontId="4" fillId="0" borderId="3" xfId="0" applyNumberFormat="1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left" vertical="top" wrapText="1"/>
    </xf>
    <xf numFmtId="176" fontId="7" fillId="0" borderId="3" xfId="0" applyNumberFormat="1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left" wrapText="1"/>
    </xf>
    <xf numFmtId="176" fontId="3" fillId="0" borderId="3" xfId="0" applyNumberFormat="1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164" fontId="4" fillId="0" borderId="2" xfId="0" applyNumberFormat="1" applyFont="1" applyFill="1" applyBorder="1" applyAlignment="1" applyProtection="1">
      <alignment vertical="top" wrapText="1"/>
      <protection locked="0"/>
    </xf>
    <xf numFmtId="0" fontId="4" fillId="0" borderId="2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vertical="top" wrapText="1"/>
    </xf>
    <xf numFmtId="0" fontId="7" fillId="0" borderId="2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4" fillId="0" borderId="2" xfId="0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left" vertical="top" wrapText="1"/>
    </xf>
    <xf numFmtId="49" fontId="3" fillId="2" borderId="5" xfId="0" applyNumberFormat="1" applyFont="1" applyFill="1" applyBorder="1" applyAlignment="1">
      <alignment horizontal="center" vertical="top" wrapText="1"/>
    </xf>
    <xf numFmtId="49" fontId="3" fillId="2" borderId="5" xfId="0" applyNumberFormat="1" applyFont="1" applyFill="1" applyBorder="1" applyAlignment="1">
      <alignment horizontal="center" vertical="top"/>
    </xf>
    <xf numFmtId="176" fontId="3" fillId="2" borderId="5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 vertical="justify" wrapText="1"/>
    </xf>
    <xf numFmtId="0" fontId="4" fillId="0" borderId="2" xfId="0" applyFont="1" applyBorder="1" applyAlignment="1">
      <alignment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justify" wrapText="1"/>
    </xf>
    <xf numFmtId="0" fontId="3" fillId="0" borderId="2" xfId="0" applyFont="1" applyFill="1" applyBorder="1" applyAlignment="1">
      <alignment vertical="justify" wrapText="1"/>
    </xf>
    <xf numFmtId="0" fontId="3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176" fontId="4" fillId="0" borderId="0" xfId="0" applyNumberFormat="1" applyFont="1" applyFill="1" applyBorder="1" applyAlignment="1">
      <alignment vertical="top" wrapText="1"/>
    </xf>
    <xf numFmtId="176" fontId="7" fillId="0" borderId="0" xfId="0" applyNumberFormat="1" applyFont="1" applyFill="1" applyBorder="1" applyAlignment="1">
      <alignment vertical="top"/>
    </xf>
    <xf numFmtId="0" fontId="5" fillId="0" borderId="0" xfId="0" applyFont="1" applyFill="1" applyAlignment="1">
      <alignment/>
    </xf>
    <xf numFmtId="176" fontId="3" fillId="2" borderId="6" xfId="0" applyNumberFormat="1" applyFont="1" applyFill="1" applyBorder="1" applyAlignment="1">
      <alignment vertical="top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right" wrapText="1"/>
    </xf>
    <xf numFmtId="49" fontId="4" fillId="0" borderId="7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524</xdr:row>
      <xdr:rowOff>0</xdr:rowOff>
    </xdr:from>
    <xdr:to>
      <xdr:col>0</xdr:col>
      <xdr:colOff>0</xdr:colOff>
      <xdr:row>524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873186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524</xdr:row>
      <xdr:rowOff>0</xdr:rowOff>
    </xdr:from>
    <xdr:to>
      <xdr:col>0</xdr:col>
      <xdr:colOff>0</xdr:colOff>
      <xdr:row>524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0" y="1873186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5"/>
  <sheetViews>
    <sheetView tabSelected="1" zoomScale="75" zoomScaleNormal="75" workbookViewId="0" topLeftCell="A1">
      <pane xSplit="1" ySplit="9" topLeftCell="B517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6" sqref="A6:I6"/>
    </sheetView>
  </sheetViews>
  <sheetFormatPr defaultColWidth="9.00390625" defaultRowHeight="12.75"/>
  <cols>
    <col min="1" max="1" width="64.625" style="23" customWidth="1"/>
    <col min="2" max="2" width="9.00390625" style="1" customWidth="1"/>
    <col min="3" max="3" width="9.00390625" style="2" customWidth="1"/>
    <col min="4" max="4" width="11.75390625" style="2" customWidth="1"/>
    <col min="5" max="5" width="9.375" style="2" customWidth="1"/>
    <col min="6" max="6" width="14.25390625" style="3" customWidth="1"/>
    <col min="7" max="7" width="13.875" style="3" customWidth="1"/>
    <col min="8" max="8" width="13.125" style="3" customWidth="1"/>
    <col min="9" max="9" width="13.625" style="3" customWidth="1"/>
    <col min="10" max="16384" width="9.125" style="3" customWidth="1"/>
  </cols>
  <sheetData>
    <row r="1" spans="6:9" ht="18.75">
      <c r="F1" s="101" t="s">
        <v>135</v>
      </c>
      <c r="G1" s="101"/>
      <c r="H1" s="101"/>
      <c r="I1" s="101"/>
    </row>
    <row r="2" spans="6:9" ht="18.75">
      <c r="F2" s="101" t="s">
        <v>365</v>
      </c>
      <c r="G2" s="101"/>
      <c r="H2" s="101"/>
      <c r="I2" s="101"/>
    </row>
    <row r="3" spans="6:9" ht="7.5" customHeight="1">
      <c r="F3" s="98"/>
      <c r="G3" s="98"/>
      <c r="H3" s="98"/>
      <c r="I3" s="98"/>
    </row>
    <row r="4" spans="6:9" ht="23.25" customHeight="1">
      <c r="F4" s="101" t="s">
        <v>477</v>
      </c>
      <c r="G4" s="101"/>
      <c r="H4" s="101"/>
      <c r="I4" s="101"/>
    </row>
    <row r="5" spans="6:9" ht="18.75">
      <c r="F5" s="101"/>
      <c r="G5" s="101"/>
      <c r="H5" s="101"/>
      <c r="I5" s="101"/>
    </row>
    <row r="6" spans="1:9" ht="39.75" customHeight="1">
      <c r="A6" s="102" t="s">
        <v>380</v>
      </c>
      <c r="B6" s="102"/>
      <c r="C6" s="102"/>
      <c r="D6" s="102"/>
      <c r="E6" s="102"/>
      <c r="F6" s="102"/>
      <c r="G6" s="102"/>
      <c r="H6" s="102"/>
      <c r="I6" s="102"/>
    </row>
    <row r="7" ht="18.75" thickBot="1">
      <c r="I7" s="3" t="s">
        <v>277</v>
      </c>
    </row>
    <row r="8" spans="1:9" s="5" customFormat="1" ht="24" customHeight="1">
      <c r="A8" s="103" t="s">
        <v>0</v>
      </c>
      <c r="B8" s="99" t="s">
        <v>1</v>
      </c>
      <c r="C8" s="99" t="s">
        <v>17</v>
      </c>
      <c r="D8" s="99" t="s">
        <v>278</v>
      </c>
      <c r="E8" s="99" t="s">
        <v>279</v>
      </c>
      <c r="F8" s="96" t="s">
        <v>381</v>
      </c>
      <c r="G8" s="96" t="s">
        <v>136</v>
      </c>
      <c r="H8" s="96"/>
      <c r="I8" s="97"/>
    </row>
    <row r="9" spans="1:9" s="5" customFormat="1" ht="120">
      <c r="A9" s="104"/>
      <c r="B9" s="100"/>
      <c r="C9" s="100"/>
      <c r="D9" s="100"/>
      <c r="E9" s="100"/>
      <c r="F9" s="105"/>
      <c r="G9" s="81" t="s">
        <v>137</v>
      </c>
      <c r="H9" s="81" t="s">
        <v>138</v>
      </c>
      <c r="I9" s="82" t="s">
        <v>276</v>
      </c>
    </row>
    <row r="10" spans="1:9" s="6" customFormat="1" ht="18.75">
      <c r="A10" s="51" t="s">
        <v>2</v>
      </c>
      <c r="B10" s="45"/>
      <c r="C10" s="46"/>
      <c r="D10" s="46"/>
      <c r="E10" s="46"/>
      <c r="F10" s="47">
        <f>SUM(F11,F15,F23,F33,F49,F53,F59,F39,F45)</f>
        <v>60128.79999999999</v>
      </c>
      <c r="G10" s="47">
        <f>SUM(G11,G15,G23,G33,G49,G53,G59,G39,G45)</f>
        <v>59344.79999999999</v>
      </c>
      <c r="H10" s="47">
        <f>SUM(H11,H15,H23,H33,H49,H53,H59,H39,H45)</f>
        <v>0</v>
      </c>
      <c r="I10" s="52">
        <f>SUM(I11,I15,I23,I33,I49,I53,I59,I39,I45)</f>
        <v>784</v>
      </c>
    </row>
    <row r="11" spans="1:9" s="15" customFormat="1" ht="56.25">
      <c r="A11" s="53" t="s">
        <v>28</v>
      </c>
      <c r="B11" s="13" t="s">
        <v>3</v>
      </c>
      <c r="C11" s="14" t="s">
        <v>4</v>
      </c>
      <c r="D11" s="14"/>
      <c r="E11" s="14"/>
      <c r="F11" s="43">
        <f aca="true" t="shared" si="0" ref="F11:I13">F12</f>
        <v>785.4</v>
      </c>
      <c r="G11" s="43">
        <f t="shared" si="0"/>
        <v>785.4</v>
      </c>
      <c r="H11" s="43">
        <f t="shared" si="0"/>
        <v>0</v>
      </c>
      <c r="I11" s="54">
        <f t="shared" si="0"/>
        <v>0</v>
      </c>
    </row>
    <row r="12" spans="1:9" s="15" customFormat="1" ht="75">
      <c r="A12" s="53" t="s">
        <v>57</v>
      </c>
      <c r="B12" s="13" t="s">
        <v>3</v>
      </c>
      <c r="C12" s="14" t="s">
        <v>4</v>
      </c>
      <c r="D12" s="14" t="s">
        <v>165</v>
      </c>
      <c r="E12" s="14"/>
      <c r="F12" s="43">
        <f t="shared" si="0"/>
        <v>785.4</v>
      </c>
      <c r="G12" s="43">
        <f t="shared" si="0"/>
        <v>785.4</v>
      </c>
      <c r="H12" s="43">
        <f t="shared" si="0"/>
        <v>0</v>
      </c>
      <c r="I12" s="54">
        <f t="shared" si="0"/>
        <v>0</v>
      </c>
    </row>
    <row r="13" spans="1:9" s="5" customFormat="1" ht="18.75">
      <c r="A13" s="55" t="s">
        <v>58</v>
      </c>
      <c r="B13" s="4" t="s">
        <v>3</v>
      </c>
      <c r="C13" s="7" t="s">
        <v>4</v>
      </c>
      <c r="D13" s="7" t="s">
        <v>166</v>
      </c>
      <c r="E13" s="7"/>
      <c r="F13" s="42">
        <f t="shared" si="0"/>
        <v>785.4</v>
      </c>
      <c r="G13" s="42">
        <f t="shared" si="0"/>
        <v>785.4</v>
      </c>
      <c r="H13" s="42">
        <f t="shared" si="0"/>
        <v>0</v>
      </c>
      <c r="I13" s="56">
        <f t="shared" si="0"/>
        <v>0</v>
      </c>
    </row>
    <row r="14" spans="1:9" s="30" customFormat="1" ht="37.5">
      <c r="A14" s="57" t="s">
        <v>124</v>
      </c>
      <c r="B14" s="28" t="s">
        <v>3</v>
      </c>
      <c r="C14" s="29" t="s">
        <v>4</v>
      </c>
      <c r="D14" s="29" t="s">
        <v>166</v>
      </c>
      <c r="E14" s="29" t="s">
        <v>20</v>
      </c>
      <c r="F14" s="35">
        <f>SUM(G14:I14)</f>
        <v>785.4</v>
      </c>
      <c r="G14" s="36">
        <f>702+41.6+41.8</f>
        <v>785.4</v>
      </c>
      <c r="H14" s="36"/>
      <c r="I14" s="58"/>
    </row>
    <row r="15" spans="1:9" s="15" customFormat="1" ht="75">
      <c r="A15" s="53" t="s">
        <v>29</v>
      </c>
      <c r="B15" s="13" t="s">
        <v>3</v>
      </c>
      <c r="C15" s="14" t="s">
        <v>5</v>
      </c>
      <c r="D15" s="14"/>
      <c r="E15" s="14"/>
      <c r="F15" s="43">
        <f>F16</f>
        <v>6280.6</v>
      </c>
      <c r="G15" s="43">
        <f>G16</f>
        <v>6280.6</v>
      </c>
      <c r="H15" s="43">
        <f>H16</f>
        <v>0</v>
      </c>
      <c r="I15" s="54">
        <f>I16</f>
        <v>0</v>
      </c>
    </row>
    <row r="16" spans="1:9" s="15" customFormat="1" ht="75">
      <c r="A16" s="53" t="s">
        <v>57</v>
      </c>
      <c r="B16" s="13" t="s">
        <v>3</v>
      </c>
      <c r="C16" s="14" t="s">
        <v>5</v>
      </c>
      <c r="D16" s="14" t="s">
        <v>165</v>
      </c>
      <c r="E16" s="14"/>
      <c r="F16" s="43">
        <f>SUM(F17,F19,F21)</f>
        <v>6280.6</v>
      </c>
      <c r="G16" s="43">
        <f>SUM(G17,G19,G21)</f>
        <v>6280.6</v>
      </c>
      <c r="H16" s="43">
        <f>SUM(H17,H19,H21)</f>
        <v>0</v>
      </c>
      <c r="I16" s="54">
        <f>SUM(I17,I19,I21)</f>
        <v>0</v>
      </c>
    </row>
    <row r="17" spans="1:9" s="5" customFormat="1" ht="18.75">
      <c r="A17" s="55" t="s">
        <v>59</v>
      </c>
      <c r="B17" s="4" t="s">
        <v>3</v>
      </c>
      <c r="C17" s="7" t="s">
        <v>5</v>
      </c>
      <c r="D17" s="7" t="s">
        <v>167</v>
      </c>
      <c r="E17" s="7"/>
      <c r="F17" s="39">
        <f>F18</f>
        <v>4996.400000000001</v>
      </c>
      <c r="G17" s="39">
        <f>G18</f>
        <v>4996.400000000001</v>
      </c>
      <c r="H17" s="39">
        <f>H18</f>
        <v>0</v>
      </c>
      <c r="I17" s="59">
        <f>I18</f>
        <v>0</v>
      </c>
    </row>
    <row r="18" spans="1:9" s="30" customFormat="1" ht="37.5">
      <c r="A18" s="57" t="s">
        <v>124</v>
      </c>
      <c r="B18" s="28" t="s">
        <v>3</v>
      </c>
      <c r="C18" s="29" t="s">
        <v>5</v>
      </c>
      <c r="D18" s="29" t="s">
        <v>167</v>
      </c>
      <c r="E18" s="29" t="s">
        <v>20</v>
      </c>
      <c r="F18" s="35">
        <f>SUM(G18:I18)</f>
        <v>4996.400000000001</v>
      </c>
      <c r="G18" s="36">
        <f>2897+1880+225.8-6.4</f>
        <v>4996.400000000001</v>
      </c>
      <c r="H18" s="36"/>
      <c r="I18" s="58"/>
    </row>
    <row r="19" spans="1:9" s="5" customFormat="1" ht="37.5" hidden="1">
      <c r="A19" s="55" t="s">
        <v>60</v>
      </c>
      <c r="B19" s="4" t="s">
        <v>3</v>
      </c>
      <c r="C19" s="7" t="s">
        <v>5</v>
      </c>
      <c r="D19" s="7" t="s">
        <v>168</v>
      </c>
      <c r="E19" s="7"/>
      <c r="F19" s="39">
        <f>F20</f>
        <v>0</v>
      </c>
      <c r="G19" s="39">
        <f>G20</f>
        <v>0</v>
      </c>
      <c r="H19" s="39">
        <f>H20</f>
        <v>0</v>
      </c>
      <c r="I19" s="59">
        <f>I20</f>
        <v>0</v>
      </c>
    </row>
    <row r="20" spans="1:9" s="30" customFormat="1" ht="37.5" hidden="1">
      <c r="A20" s="57" t="s">
        <v>124</v>
      </c>
      <c r="B20" s="28" t="s">
        <v>3</v>
      </c>
      <c r="C20" s="29" t="s">
        <v>5</v>
      </c>
      <c r="D20" s="29" t="s">
        <v>168</v>
      </c>
      <c r="E20" s="29" t="s">
        <v>20</v>
      </c>
      <c r="F20" s="35">
        <f>SUM(G20:I20)</f>
        <v>0</v>
      </c>
      <c r="G20" s="36"/>
      <c r="H20" s="36"/>
      <c r="I20" s="58"/>
    </row>
    <row r="21" spans="1:9" s="5" customFormat="1" ht="37.5">
      <c r="A21" s="55" t="s">
        <v>61</v>
      </c>
      <c r="B21" s="4" t="s">
        <v>3</v>
      </c>
      <c r="C21" s="7" t="s">
        <v>5</v>
      </c>
      <c r="D21" s="7" t="s">
        <v>169</v>
      </c>
      <c r="E21" s="7"/>
      <c r="F21" s="39">
        <f>F22</f>
        <v>1284.2</v>
      </c>
      <c r="G21" s="39">
        <f>G22</f>
        <v>1284.2</v>
      </c>
      <c r="H21" s="39">
        <f>H22</f>
        <v>0</v>
      </c>
      <c r="I21" s="59">
        <f>I22</f>
        <v>0</v>
      </c>
    </row>
    <row r="22" spans="1:9" s="30" customFormat="1" ht="37.5">
      <c r="A22" s="57" t="s">
        <v>124</v>
      </c>
      <c r="B22" s="28" t="s">
        <v>3</v>
      </c>
      <c r="C22" s="29" t="s">
        <v>5</v>
      </c>
      <c r="D22" s="29" t="s">
        <v>169</v>
      </c>
      <c r="E22" s="29" t="s">
        <v>20</v>
      </c>
      <c r="F22" s="35">
        <f>SUM(G22:I22)</f>
        <v>1284.2</v>
      </c>
      <c r="G22" s="36">
        <f>1320+6-41.8</f>
        <v>1284.2</v>
      </c>
      <c r="H22" s="36"/>
      <c r="I22" s="58"/>
    </row>
    <row r="23" spans="1:9" s="15" customFormat="1" ht="81.75" customHeight="1">
      <c r="A23" s="53" t="s">
        <v>30</v>
      </c>
      <c r="B23" s="13" t="s">
        <v>3</v>
      </c>
      <c r="C23" s="14" t="s">
        <v>7</v>
      </c>
      <c r="D23" s="14"/>
      <c r="E23" s="14"/>
      <c r="F23" s="43">
        <f>SUM(F24)</f>
        <v>25453.5</v>
      </c>
      <c r="G23" s="43">
        <f>SUM(G24)</f>
        <v>24918.5</v>
      </c>
      <c r="H23" s="43">
        <f>SUM(H24)</f>
        <v>0</v>
      </c>
      <c r="I23" s="54">
        <f>SUM(I24)</f>
        <v>535</v>
      </c>
    </row>
    <row r="24" spans="1:9" s="15" customFormat="1" ht="75">
      <c r="A24" s="53" t="s">
        <v>57</v>
      </c>
      <c r="B24" s="13" t="s">
        <v>3</v>
      </c>
      <c r="C24" s="14" t="s">
        <v>7</v>
      </c>
      <c r="D24" s="14" t="s">
        <v>165</v>
      </c>
      <c r="E24" s="14"/>
      <c r="F24" s="43">
        <f>SUM(F25,F27,F29,F31)</f>
        <v>25453.5</v>
      </c>
      <c r="G24" s="43">
        <f>SUM(G25,G27,G29,G31)</f>
        <v>24918.5</v>
      </c>
      <c r="H24" s="43">
        <f>SUM(H25,H27,H29,H31)</f>
        <v>0</v>
      </c>
      <c r="I24" s="54">
        <f>SUM(I25,I27,I29,I31)</f>
        <v>535</v>
      </c>
    </row>
    <row r="25" spans="1:9" s="5" customFormat="1" ht="18.75">
      <c r="A25" s="55" t="s">
        <v>59</v>
      </c>
      <c r="B25" s="4" t="s">
        <v>3</v>
      </c>
      <c r="C25" s="7" t="s">
        <v>7</v>
      </c>
      <c r="D25" s="7" t="s">
        <v>167</v>
      </c>
      <c r="E25" s="7"/>
      <c r="F25" s="42">
        <f>F26</f>
        <v>24330.3</v>
      </c>
      <c r="G25" s="42">
        <f>G26</f>
        <v>24330.3</v>
      </c>
      <c r="H25" s="42">
        <f>H26</f>
        <v>0</v>
      </c>
      <c r="I25" s="56">
        <f>I26</f>
        <v>0</v>
      </c>
    </row>
    <row r="26" spans="1:9" s="30" customFormat="1" ht="37.5">
      <c r="A26" s="57" t="s">
        <v>124</v>
      </c>
      <c r="B26" s="28" t="s">
        <v>3</v>
      </c>
      <c r="C26" s="29" t="s">
        <v>7</v>
      </c>
      <c r="D26" s="29" t="s">
        <v>167</v>
      </c>
      <c r="E26" s="29" t="s">
        <v>20</v>
      </c>
      <c r="F26" s="35">
        <f>SUM(G26:I26)</f>
        <v>24330.3</v>
      </c>
      <c r="G26" s="36">
        <f>23690.9+500-386.7-10+536.1</f>
        <v>24330.3</v>
      </c>
      <c r="H26" s="36"/>
      <c r="I26" s="58"/>
    </row>
    <row r="27" spans="1:9" s="5" customFormat="1" ht="36.75" customHeight="1">
      <c r="A27" s="55" t="s">
        <v>307</v>
      </c>
      <c r="B27" s="4" t="s">
        <v>3</v>
      </c>
      <c r="C27" s="7" t="s">
        <v>7</v>
      </c>
      <c r="D27" s="7" t="s">
        <v>283</v>
      </c>
      <c r="E27" s="7"/>
      <c r="F27" s="42">
        <f>F28</f>
        <v>534</v>
      </c>
      <c r="G27" s="42">
        <f>G28</f>
        <v>0</v>
      </c>
      <c r="H27" s="42">
        <f>H28</f>
        <v>0</v>
      </c>
      <c r="I27" s="56">
        <f>I28</f>
        <v>534</v>
      </c>
    </row>
    <row r="28" spans="1:9" s="30" customFormat="1" ht="37.5">
      <c r="A28" s="57" t="s">
        <v>124</v>
      </c>
      <c r="B28" s="40" t="s">
        <v>3</v>
      </c>
      <c r="C28" s="37" t="s">
        <v>7</v>
      </c>
      <c r="D28" s="37" t="s">
        <v>283</v>
      </c>
      <c r="E28" s="37" t="s">
        <v>20</v>
      </c>
      <c r="F28" s="35">
        <f>SUM(G28:I28)</f>
        <v>534</v>
      </c>
      <c r="G28" s="36"/>
      <c r="H28" s="36"/>
      <c r="I28" s="58">
        <f>504+30</f>
        <v>534</v>
      </c>
    </row>
    <row r="29" spans="1:9" s="5" customFormat="1" ht="37.5" customHeight="1">
      <c r="A29" s="55" t="s">
        <v>308</v>
      </c>
      <c r="B29" s="4" t="s">
        <v>3</v>
      </c>
      <c r="C29" s="7" t="s">
        <v>7</v>
      </c>
      <c r="D29" s="7" t="s">
        <v>285</v>
      </c>
      <c r="E29" s="7"/>
      <c r="F29" s="42">
        <f>F30</f>
        <v>1</v>
      </c>
      <c r="G29" s="42">
        <f>G30</f>
        <v>0</v>
      </c>
      <c r="H29" s="42">
        <f>H30</f>
        <v>0</v>
      </c>
      <c r="I29" s="56">
        <f>I30</f>
        <v>1</v>
      </c>
    </row>
    <row r="30" spans="1:9" s="30" customFormat="1" ht="37.5">
      <c r="A30" s="57" t="s">
        <v>124</v>
      </c>
      <c r="B30" s="40" t="s">
        <v>3</v>
      </c>
      <c r="C30" s="37" t="s">
        <v>7</v>
      </c>
      <c r="D30" s="37" t="s">
        <v>285</v>
      </c>
      <c r="E30" s="37" t="s">
        <v>20</v>
      </c>
      <c r="F30" s="35">
        <f>SUM(G30:I30)</f>
        <v>1</v>
      </c>
      <c r="G30" s="36"/>
      <c r="H30" s="36"/>
      <c r="I30" s="58">
        <v>1</v>
      </c>
    </row>
    <row r="31" spans="1:9" s="5" customFormat="1" ht="37.5" customHeight="1">
      <c r="A31" s="55" t="s">
        <v>349</v>
      </c>
      <c r="B31" s="4" t="s">
        <v>3</v>
      </c>
      <c r="C31" s="7" t="s">
        <v>7</v>
      </c>
      <c r="D31" s="7" t="s">
        <v>350</v>
      </c>
      <c r="E31" s="7"/>
      <c r="F31" s="42">
        <f>F32</f>
        <v>588.2</v>
      </c>
      <c r="G31" s="42">
        <f>G32</f>
        <v>588.2</v>
      </c>
      <c r="H31" s="42">
        <f>H32</f>
        <v>0</v>
      </c>
      <c r="I31" s="56">
        <f>I32</f>
        <v>0</v>
      </c>
    </row>
    <row r="32" spans="1:9" s="30" customFormat="1" ht="37.5">
      <c r="A32" s="57" t="s">
        <v>124</v>
      </c>
      <c r="B32" s="40" t="s">
        <v>3</v>
      </c>
      <c r="C32" s="37" t="s">
        <v>7</v>
      </c>
      <c r="D32" s="37" t="s">
        <v>350</v>
      </c>
      <c r="E32" s="37" t="s">
        <v>20</v>
      </c>
      <c r="F32" s="35">
        <f>SUM(G32:I32)</f>
        <v>588.2</v>
      </c>
      <c r="G32" s="36">
        <f>576.2+2+10</f>
        <v>588.2</v>
      </c>
      <c r="H32" s="36"/>
      <c r="I32" s="58"/>
    </row>
    <row r="33" spans="1:9" s="15" customFormat="1" ht="18" customHeight="1">
      <c r="A33" s="53" t="s">
        <v>126</v>
      </c>
      <c r="B33" s="13" t="s">
        <v>3</v>
      </c>
      <c r="C33" s="14" t="s">
        <v>8</v>
      </c>
      <c r="D33" s="14"/>
      <c r="E33" s="14"/>
      <c r="F33" s="43">
        <f aca="true" t="shared" si="1" ref="F33:I35">F34</f>
        <v>9</v>
      </c>
      <c r="G33" s="43">
        <f t="shared" si="1"/>
        <v>0</v>
      </c>
      <c r="H33" s="43">
        <f t="shared" si="1"/>
        <v>0</v>
      </c>
      <c r="I33" s="54">
        <f t="shared" si="1"/>
        <v>9</v>
      </c>
    </row>
    <row r="34" spans="1:9" s="31" customFormat="1" ht="37.5">
      <c r="A34" s="53" t="s">
        <v>127</v>
      </c>
      <c r="B34" s="13" t="s">
        <v>3</v>
      </c>
      <c r="C34" s="14" t="s">
        <v>8</v>
      </c>
      <c r="D34" s="14" t="s">
        <v>170</v>
      </c>
      <c r="E34" s="14"/>
      <c r="F34" s="43">
        <f t="shared" si="1"/>
        <v>9</v>
      </c>
      <c r="G34" s="43">
        <f t="shared" si="1"/>
        <v>0</v>
      </c>
      <c r="H34" s="43">
        <f t="shared" si="1"/>
        <v>0</v>
      </c>
      <c r="I34" s="54">
        <f t="shared" si="1"/>
        <v>9</v>
      </c>
    </row>
    <row r="35" spans="1:9" s="8" customFormat="1" ht="57" customHeight="1">
      <c r="A35" s="60" t="s">
        <v>128</v>
      </c>
      <c r="B35" s="9" t="s">
        <v>3</v>
      </c>
      <c r="C35" s="10" t="s">
        <v>8</v>
      </c>
      <c r="D35" s="10" t="s">
        <v>171</v>
      </c>
      <c r="E35" s="10"/>
      <c r="F35" s="39">
        <f>F36</f>
        <v>9</v>
      </c>
      <c r="G35" s="39">
        <f t="shared" si="1"/>
        <v>0</v>
      </c>
      <c r="H35" s="39">
        <f t="shared" si="1"/>
        <v>0</v>
      </c>
      <c r="I35" s="59">
        <f t="shared" si="1"/>
        <v>9</v>
      </c>
    </row>
    <row r="36" spans="1:9" s="8" customFormat="1" ht="57" customHeight="1">
      <c r="A36" s="60" t="s">
        <v>128</v>
      </c>
      <c r="B36" s="9" t="s">
        <v>3</v>
      </c>
      <c r="C36" s="10" t="s">
        <v>8</v>
      </c>
      <c r="D36" s="10" t="s">
        <v>284</v>
      </c>
      <c r="E36" s="10"/>
      <c r="F36" s="39">
        <f>SUM(F37:F38)</f>
        <v>9</v>
      </c>
      <c r="G36" s="39">
        <f>SUM(G37:G38)</f>
        <v>0</v>
      </c>
      <c r="H36" s="39">
        <f>SUM(H37:H38)</f>
        <v>0</v>
      </c>
      <c r="I36" s="59">
        <f>SUM(I37:I38)</f>
        <v>9</v>
      </c>
    </row>
    <row r="37" spans="1:9" s="32" customFormat="1" ht="18.75" hidden="1">
      <c r="A37" s="57" t="s">
        <v>153</v>
      </c>
      <c r="B37" s="28" t="s">
        <v>3</v>
      </c>
      <c r="C37" s="29" t="s">
        <v>8</v>
      </c>
      <c r="D37" s="29" t="s">
        <v>284</v>
      </c>
      <c r="E37" s="29" t="s">
        <v>152</v>
      </c>
      <c r="F37" s="35">
        <f>SUM(G37:I37)</f>
        <v>0</v>
      </c>
      <c r="G37" s="36"/>
      <c r="H37" s="36"/>
      <c r="I37" s="58"/>
    </row>
    <row r="38" spans="1:9" s="32" customFormat="1" ht="37.5">
      <c r="A38" s="57" t="s">
        <v>124</v>
      </c>
      <c r="B38" s="28" t="s">
        <v>3</v>
      </c>
      <c r="C38" s="29" t="s">
        <v>8</v>
      </c>
      <c r="D38" s="29" t="s">
        <v>284</v>
      </c>
      <c r="E38" s="29" t="s">
        <v>20</v>
      </c>
      <c r="F38" s="35">
        <f>SUM(G38:I38)</f>
        <v>9</v>
      </c>
      <c r="G38" s="36"/>
      <c r="H38" s="36"/>
      <c r="I38" s="58">
        <f>4.6+4.4</f>
        <v>9</v>
      </c>
    </row>
    <row r="39" spans="1:9" s="15" customFormat="1" ht="56.25">
      <c r="A39" s="53" t="s">
        <v>355</v>
      </c>
      <c r="B39" s="13" t="s">
        <v>3</v>
      </c>
      <c r="C39" s="14" t="s">
        <v>9</v>
      </c>
      <c r="D39" s="14"/>
      <c r="E39" s="14"/>
      <c r="F39" s="43">
        <f>F40</f>
        <v>8450.7</v>
      </c>
      <c r="G39" s="43">
        <f>G40</f>
        <v>8450.7</v>
      </c>
      <c r="H39" s="43">
        <f>H40</f>
        <v>0</v>
      </c>
      <c r="I39" s="54">
        <f>I40</f>
        <v>0</v>
      </c>
    </row>
    <row r="40" spans="1:9" s="32" customFormat="1" ht="75">
      <c r="A40" s="53" t="s">
        <v>57</v>
      </c>
      <c r="B40" s="13" t="s">
        <v>3</v>
      </c>
      <c r="C40" s="14" t="s">
        <v>9</v>
      </c>
      <c r="D40" s="14" t="s">
        <v>356</v>
      </c>
      <c r="E40" s="29"/>
      <c r="F40" s="43">
        <f>F41+F43</f>
        <v>8450.7</v>
      </c>
      <c r="G40" s="43">
        <f>G41+G43</f>
        <v>8450.7</v>
      </c>
      <c r="H40" s="43">
        <f>H41+H43</f>
        <v>0</v>
      </c>
      <c r="I40" s="54">
        <f>I41+I43</f>
        <v>0</v>
      </c>
    </row>
    <row r="41" spans="1:9" s="32" customFormat="1" ht="18.75">
      <c r="A41" s="57" t="s">
        <v>59</v>
      </c>
      <c r="B41" s="28" t="s">
        <v>3</v>
      </c>
      <c r="C41" s="29" t="s">
        <v>357</v>
      </c>
      <c r="D41" s="29" t="s">
        <v>358</v>
      </c>
      <c r="E41" s="29"/>
      <c r="F41" s="35">
        <f>F42</f>
        <v>7106.700000000001</v>
      </c>
      <c r="G41" s="35">
        <f>G42</f>
        <v>7106.700000000001</v>
      </c>
      <c r="H41" s="35">
        <f>H42</f>
        <v>0</v>
      </c>
      <c r="I41" s="61">
        <f>I42</f>
        <v>0</v>
      </c>
    </row>
    <row r="42" spans="1:9" s="32" customFormat="1" ht="37.5">
      <c r="A42" s="57" t="s">
        <v>124</v>
      </c>
      <c r="B42" s="28" t="s">
        <v>3</v>
      </c>
      <c r="C42" s="29" t="s">
        <v>9</v>
      </c>
      <c r="D42" s="29" t="s">
        <v>358</v>
      </c>
      <c r="E42" s="29" t="s">
        <v>20</v>
      </c>
      <c r="F42" s="35">
        <f>G42+H42+I42</f>
        <v>7106.700000000001</v>
      </c>
      <c r="G42" s="36">
        <f>1203+6035-289.9+158.6</f>
        <v>7106.700000000001</v>
      </c>
      <c r="H42" s="36"/>
      <c r="I42" s="58"/>
    </row>
    <row r="43" spans="1:9" s="15" customFormat="1" ht="37.5">
      <c r="A43" s="53" t="s">
        <v>359</v>
      </c>
      <c r="B43" s="13" t="s">
        <v>3</v>
      </c>
      <c r="C43" s="14" t="s">
        <v>9</v>
      </c>
      <c r="D43" s="14" t="s">
        <v>360</v>
      </c>
      <c r="E43" s="14"/>
      <c r="F43" s="43">
        <f>F44</f>
        <v>1344</v>
      </c>
      <c r="G43" s="43">
        <f>G44</f>
        <v>1344</v>
      </c>
      <c r="H43" s="43">
        <f>H44</f>
        <v>0</v>
      </c>
      <c r="I43" s="54">
        <f>I44</f>
        <v>0</v>
      </c>
    </row>
    <row r="44" spans="1:9" s="30" customFormat="1" ht="37.5">
      <c r="A44" s="57" t="s">
        <v>124</v>
      </c>
      <c r="B44" s="28" t="s">
        <v>3</v>
      </c>
      <c r="C44" s="29" t="s">
        <v>9</v>
      </c>
      <c r="D44" s="29" t="s">
        <v>360</v>
      </c>
      <c r="E44" s="29" t="s">
        <v>20</v>
      </c>
      <c r="F44" s="35">
        <f>G44+H44+I44</f>
        <v>1344</v>
      </c>
      <c r="G44" s="36">
        <v>1344</v>
      </c>
      <c r="H44" s="36"/>
      <c r="I44" s="58"/>
    </row>
    <row r="45" spans="1:9" s="30" customFormat="1" ht="37.5">
      <c r="A45" s="90" t="s">
        <v>414</v>
      </c>
      <c r="B45" s="13" t="s">
        <v>3</v>
      </c>
      <c r="C45" s="14" t="s">
        <v>10</v>
      </c>
      <c r="D45" s="14"/>
      <c r="E45" s="14"/>
      <c r="F45" s="43">
        <f>F46</f>
        <v>155</v>
      </c>
      <c r="G45" s="43">
        <f>G46</f>
        <v>155</v>
      </c>
      <c r="H45" s="43">
        <f>H46</f>
        <v>0</v>
      </c>
      <c r="I45" s="54">
        <f>I46</f>
        <v>0</v>
      </c>
    </row>
    <row r="46" spans="1:9" s="30" customFormat="1" ht="18.75">
      <c r="A46" s="90" t="s">
        <v>420</v>
      </c>
      <c r="B46" s="13" t="s">
        <v>3</v>
      </c>
      <c r="C46" s="14" t="s">
        <v>10</v>
      </c>
      <c r="D46" s="14" t="s">
        <v>421</v>
      </c>
      <c r="E46" s="29"/>
      <c r="F46" s="43">
        <f>F47+F49</f>
        <v>155</v>
      </c>
      <c r="G46" s="43">
        <f>G47+G49</f>
        <v>155</v>
      </c>
      <c r="H46" s="43">
        <f>H47+H49</f>
        <v>0</v>
      </c>
      <c r="I46" s="54">
        <f>I47+I49</f>
        <v>0</v>
      </c>
    </row>
    <row r="47" spans="1:9" s="30" customFormat="1" ht="56.25">
      <c r="A47" s="60" t="s">
        <v>422</v>
      </c>
      <c r="B47" s="9" t="s">
        <v>3</v>
      </c>
      <c r="C47" s="10" t="s">
        <v>10</v>
      </c>
      <c r="D47" s="10" t="s">
        <v>423</v>
      </c>
      <c r="E47" s="10"/>
      <c r="F47" s="42">
        <f>F48</f>
        <v>155</v>
      </c>
      <c r="G47" s="42">
        <f>G48</f>
        <v>155</v>
      </c>
      <c r="H47" s="42">
        <f>H48</f>
        <v>0</v>
      </c>
      <c r="I47" s="56">
        <f>I48</f>
        <v>0</v>
      </c>
    </row>
    <row r="48" spans="1:9" s="30" customFormat="1" ht="37.5">
      <c r="A48" s="57" t="s">
        <v>124</v>
      </c>
      <c r="B48" s="28" t="s">
        <v>3</v>
      </c>
      <c r="C48" s="29" t="s">
        <v>10</v>
      </c>
      <c r="D48" s="29" t="s">
        <v>423</v>
      </c>
      <c r="E48" s="29" t="s">
        <v>20</v>
      </c>
      <c r="F48" s="35">
        <f>G48+H48+I48</f>
        <v>155</v>
      </c>
      <c r="G48" s="36">
        <v>155</v>
      </c>
      <c r="H48" s="36"/>
      <c r="I48" s="58"/>
    </row>
    <row r="49" spans="1:9" s="15" customFormat="1" ht="37.5" hidden="1">
      <c r="A49" s="53" t="s">
        <v>31</v>
      </c>
      <c r="B49" s="13" t="s">
        <v>3</v>
      </c>
      <c r="C49" s="14" t="s">
        <v>14</v>
      </c>
      <c r="D49" s="14"/>
      <c r="E49" s="14"/>
      <c r="F49" s="43">
        <f aca="true" t="shared" si="2" ref="F49:I51">F50</f>
        <v>0</v>
      </c>
      <c r="G49" s="43">
        <f t="shared" si="2"/>
        <v>0</v>
      </c>
      <c r="H49" s="43">
        <f t="shared" si="2"/>
        <v>0</v>
      </c>
      <c r="I49" s="54">
        <f t="shared" si="2"/>
        <v>0</v>
      </c>
    </row>
    <row r="50" spans="1:9" s="15" customFormat="1" ht="26.25" customHeight="1" hidden="1">
      <c r="A50" s="53" t="s">
        <v>62</v>
      </c>
      <c r="B50" s="13" t="s">
        <v>3</v>
      </c>
      <c r="C50" s="14" t="s">
        <v>14</v>
      </c>
      <c r="D50" s="14" t="s">
        <v>172</v>
      </c>
      <c r="E50" s="14"/>
      <c r="F50" s="43">
        <f t="shared" si="2"/>
        <v>0</v>
      </c>
      <c r="G50" s="43">
        <f t="shared" si="2"/>
        <v>0</v>
      </c>
      <c r="H50" s="43">
        <f t="shared" si="2"/>
        <v>0</v>
      </c>
      <c r="I50" s="54">
        <f t="shared" si="2"/>
        <v>0</v>
      </c>
    </row>
    <row r="51" spans="1:9" s="5" customFormat="1" ht="18.75" hidden="1">
      <c r="A51" s="55" t="s">
        <v>63</v>
      </c>
      <c r="B51" s="4" t="s">
        <v>3</v>
      </c>
      <c r="C51" s="7" t="s">
        <v>14</v>
      </c>
      <c r="D51" s="7" t="s">
        <v>173</v>
      </c>
      <c r="E51" s="7"/>
      <c r="F51" s="42">
        <f t="shared" si="2"/>
        <v>0</v>
      </c>
      <c r="G51" s="42">
        <f t="shared" si="2"/>
        <v>0</v>
      </c>
      <c r="H51" s="42">
        <f t="shared" si="2"/>
        <v>0</v>
      </c>
      <c r="I51" s="56">
        <f t="shared" si="2"/>
        <v>0</v>
      </c>
    </row>
    <row r="52" spans="1:9" s="30" customFormat="1" ht="18.75" hidden="1">
      <c r="A52" s="57" t="s">
        <v>121</v>
      </c>
      <c r="B52" s="28" t="s">
        <v>3</v>
      </c>
      <c r="C52" s="29" t="s">
        <v>14</v>
      </c>
      <c r="D52" s="29" t="s">
        <v>173</v>
      </c>
      <c r="E52" s="29" t="s">
        <v>21</v>
      </c>
      <c r="F52" s="35">
        <f>SUM(G52:I52)</f>
        <v>0</v>
      </c>
      <c r="G52" s="36"/>
      <c r="H52" s="36"/>
      <c r="I52" s="58"/>
    </row>
    <row r="53" spans="1:9" s="15" customFormat="1" ht="18.75">
      <c r="A53" s="53" t="s">
        <v>32</v>
      </c>
      <c r="B53" s="13" t="s">
        <v>3</v>
      </c>
      <c r="C53" s="14" t="s">
        <v>11</v>
      </c>
      <c r="D53" s="14"/>
      <c r="E53" s="14"/>
      <c r="F53" s="43">
        <f aca="true" t="shared" si="3" ref="F53:I55">F54</f>
        <v>3901.7</v>
      </c>
      <c r="G53" s="43">
        <f t="shared" si="3"/>
        <v>3901.7</v>
      </c>
      <c r="H53" s="43">
        <f t="shared" si="3"/>
        <v>0</v>
      </c>
      <c r="I53" s="54">
        <f t="shared" si="3"/>
        <v>0</v>
      </c>
    </row>
    <row r="54" spans="1:9" s="15" customFormat="1" ht="18.75">
      <c r="A54" s="53" t="s">
        <v>32</v>
      </c>
      <c r="B54" s="13" t="s">
        <v>3</v>
      </c>
      <c r="C54" s="14" t="s">
        <v>11</v>
      </c>
      <c r="D54" s="14" t="s">
        <v>174</v>
      </c>
      <c r="E54" s="14"/>
      <c r="F54" s="43">
        <f>SUM(F55,F57)</f>
        <v>3901.7</v>
      </c>
      <c r="G54" s="43">
        <f>SUM(G55,G57)</f>
        <v>3901.7</v>
      </c>
      <c r="H54" s="43">
        <f>SUM(H55,H57)</f>
        <v>0</v>
      </c>
      <c r="I54" s="54">
        <f>SUM(I55,I57)</f>
        <v>0</v>
      </c>
    </row>
    <row r="55" spans="1:9" s="5" customFormat="1" ht="18.75">
      <c r="A55" s="55" t="s">
        <v>64</v>
      </c>
      <c r="B55" s="4" t="s">
        <v>3</v>
      </c>
      <c r="C55" s="7" t="s">
        <v>11</v>
      </c>
      <c r="D55" s="7" t="s">
        <v>175</v>
      </c>
      <c r="E55" s="7"/>
      <c r="F55" s="42">
        <f t="shared" si="3"/>
        <v>3901.7</v>
      </c>
      <c r="G55" s="42">
        <f t="shared" si="3"/>
        <v>3901.7</v>
      </c>
      <c r="H55" s="42">
        <f t="shared" si="3"/>
        <v>0</v>
      </c>
      <c r="I55" s="56">
        <f t="shared" si="3"/>
        <v>0</v>
      </c>
    </row>
    <row r="56" spans="1:9" s="30" customFormat="1" ht="18.75">
      <c r="A56" s="57" t="s">
        <v>121</v>
      </c>
      <c r="B56" s="28" t="s">
        <v>3</v>
      </c>
      <c r="C56" s="29" t="s">
        <v>11</v>
      </c>
      <c r="D56" s="29" t="s">
        <v>175</v>
      </c>
      <c r="E56" s="29" t="s">
        <v>21</v>
      </c>
      <c r="F56" s="35">
        <f>SUM(G56:I56)</f>
        <v>3901.7</v>
      </c>
      <c r="G56" s="36">
        <f>4100-245-1339.7+1339.7-745.3+1520-2230-225-102+2000-15-100.4-12-50+6.4</f>
        <v>3901.7</v>
      </c>
      <c r="H56" s="36"/>
      <c r="I56" s="58"/>
    </row>
    <row r="57" spans="1:9" s="5" customFormat="1" ht="56.25" hidden="1">
      <c r="A57" s="55" t="s">
        <v>65</v>
      </c>
      <c r="B57" s="4" t="s">
        <v>3</v>
      </c>
      <c r="C57" s="7" t="s">
        <v>11</v>
      </c>
      <c r="D57" s="7" t="s">
        <v>176</v>
      </c>
      <c r="E57" s="7" t="s">
        <v>19</v>
      </c>
      <c r="F57" s="39">
        <f>F58</f>
        <v>0</v>
      </c>
      <c r="G57" s="39">
        <f>G58</f>
        <v>0</v>
      </c>
      <c r="H57" s="39">
        <f>H58</f>
        <v>0</v>
      </c>
      <c r="I57" s="59">
        <f>I58</f>
        <v>0</v>
      </c>
    </row>
    <row r="58" spans="1:9" s="30" customFormat="1" ht="15.75" customHeight="1" hidden="1">
      <c r="A58" s="57" t="s">
        <v>121</v>
      </c>
      <c r="B58" s="28" t="s">
        <v>3</v>
      </c>
      <c r="C58" s="29" t="s">
        <v>11</v>
      </c>
      <c r="D58" s="29" t="s">
        <v>176</v>
      </c>
      <c r="E58" s="29" t="s">
        <v>21</v>
      </c>
      <c r="F58" s="35">
        <f>SUM(G58:I58)</f>
        <v>0</v>
      </c>
      <c r="G58" s="36"/>
      <c r="H58" s="36"/>
      <c r="I58" s="58"/>
    </row>
    <row r="59" spans="1:9" s="15" customFormat="1" ht="18.75">
      <c r="A59" s="53" t="s">
        <v>33</v>
      </c>
      <c r="B59" s="13" t="s">
        <v>3</v>
      </c>
      <c r="C59" s="14" t="s">
        <v>22</v>
      </c>
      <c r="D59" s="14"/>
      <c r="E59" s="14"/>
      <c r="F59" s="43">
        <f>SUM(F60,F63,F66,F71,F73)</f>
        <v>15092.899999999998</v>
      </c>
      <c r="G59" s="43">
        <f>SUM(G60,G63,G66,G71,G73)</f>
        <v>14852.899999999998</v>
      </c>
      <c r="H59" s="43">
        <f>SUM(H60,H63,H66,H71,H73)</f>
        <v>0</v>
      </c>
      <c r="I59" s="54">
        <f>SUM(I60,I63,I66,I71,I73)</f>
        <v>240</v>
      </c>
    </row>
    <row r="60" spans="1:9" s="15" customFormat="1" ht="37.5">
      <c r="A60" s="53" t="s">
        <v>468</v>
      </c>
      <c r="B60" s="13" t="s">
        <v>3</v>
      </c>
      <c r="C60" s="14" t="s">
        <v>22</v>
      </c>
      <c r="D60" s="14" t="s">
        <v>467</v>
      </c>
      <c r="E60" s="14"/>
      <c r="F60" s="43">
        <f aca="true" t="shared" si="4" ref="F60:I61">F61</f>
        <v>240</v>
      </c>
      <c r="G60" s="43">
        <f t="shared" si="4"/>
        <v>0</v>
      </c>
      <c r="H60" s="43">
        <f t="shared" si="4"/>
        <v>0</v>
      </c>
      <c r="I60" s="54">
        <f t="shared" si="4"/>
        <v>240</v>
      </c>
    </row>
    <row r="61" spans="1:9" s="5" customFormat="1" ht="20.25" customHeight="1" hidden="1">
      <c r="A61" s="55" t="s">
        <v>154</v>
      </c>
      <c r="B61" s="4" t="s">
        <v>3</v>
      </c>
      <c r="C61" s="7" t="s">
        <v>22</v>
      </c>
      <c r="D61" s="7" t="s">
        <v>167</v>
      </c>
      <c r="E61" s="7"/>
      <c r="F61" s="39">
        <f t="shared" si="4"/>
        <v>240</v>
      </c>
      <c r="G61" s="39">
        <f t="shared" si="4"/>
        <v>0</v>
      </c>
      <c r="H61" s="39">
        <f t="shared" si="4"/>
        <v>0</v>
      </c>
      <c r="I61" s="59">
        <f t="shared" si="4"/>
        <v>240</v>
      </c>
    </row>
    <row r="62" spans="1:9" s="30" customFormat="1" ht="37.5">
      <c r="A62" s="57" t="s">
        <v>124</v>
      </c>
      <c r="B62" s="28" t="s">
        <v>3</v>
      </c>
      <c r="C62" s="29" t="s">
        <v>22</v>
      </c>
      <c r="D62" s="29" t="s">
        <v>467</v>
      </c>
      <c r="E62" s="29" t="s">
        <v>20</v>
      </c>
      <c r="F62" s="35">
        <f>SUM(G62:I62)</f>
        <v>240</v>
      </c>
      <c r="G62" s="36"/>
      <c r="H62" s="36"/>
      <c r="I62" s="58">
        <v>240</v>
      </c>
    </row>
    <row r="63" spans="1:9" s="15" customFormat="1" ht="63" customHeight="1">
      <c r="A63" s="53" t="s">
        <v>66</v>
      </c>
      <c r="B63" s="13" t="s">
        <v>3</v>
      </c>
      <c r="C63" s="14" t="s">
        <v>22</v>
      </c>
      <c r="D63" s="14" t="s">
        <v>177</v>
      </c>
      <c r="E63" s="14"/>
      <c r="F63" s="43">
        <f aca="true" t="shared" si="5" ref="F63:I64">F64</f>
        <v>415.3</v>
      </c>
      <c r="G63" s="43">
        <f t="shared" si="5"/>
        <v>415.3</v>
      </c>
      <c r="H63" s="43">
        <f t="shared" si="5"/>
        <v>0</v>
      </c>
      <c r="I63" s="54">
        <f t="shared" si="5"/>
        <v>0</v>
      </c>
    </row>
    <row r="64" spans="1:9" s="5" customFormat="1" ht="56.25">
      <c r="A64" s="55" t="s">
        <v>67</v>
      </c>
      <c r="B64" s="4" t="s">
        <v>3</v>
      </c>
      <c r="C64" s="7" t="s">
        <v>22</v>
      </c>
      <c r="D64" s="7" t="s">
        <v>178</v>
      </c>
      <c r="E64" s="7"/>
      <c r="F64" s="39">
        <f t="shared" si="5"/>
        <v>415.3</v>
      </c>
      <c r="G64" s="39">
        <f t="shared" si="5"/>
        <v>415.3</v>
      </c>
      <c r="H64" s="39">
        <f t="shared" si="5"/>
        <v>0</v>
      </c>
      <c r="I64" s="59">
        <f t="shared" si="5"/>
        <v>0</v>
      </c>
    </row>
    <row r="65" spans="1:9" s="30" customFormat="1" ht="37.5">
      <c r="A65" s="57" t="s">
        <v>124</v>
      </c>
      <c r="B65" s="28" t="s">
        <v>3</v>
      </c>
      <c r="C65" s="29" t="s">
        <v>22</v>
      </c>
      <c r="D65" s="29" t="s">
        <v>178</v>
      </c>
      <c r="E65" s="29" t="s">
        <v>20</v>
      </c>
      <c r="F65" s="35">
        <f>SUM(G65:I65)</f>
        <v>415.3</v>
      </c>
      <c r="G65" s="36">
        <f>308+107.3</f>
        <v>415.3</v>
      </c>
      <c r="H65" s="36"/>
      <c r="I65" s="58"/>
    </row>
    <row r="66" spans="1:9" s="15" customFormat="1" ht="45" customHeight="1">
      <c r="A66" s="53" t="s">
        <v>68</v>
      </c>
      <c r="B66" s="13" t="s">
        <v>3</v>
      </c>
      <c r="C66" s="14" t="s">
        <v>22</v>
      </c>
      <c r="D66" s="14" t="s">
        <v>179</v>
      </c>
      <c r="E66" s="14"/>
      <c r="F66" s="43">
        <f>SUM(F67,F69)</f>
        <v>4201.9</v>
      </c>
      <c r="G66" s="43">
        <f>SUM(G67,G69)</f>
        <v>4201.9</v>
      </c>
      <c r="H66" s="43">
        <f>SUM(H67,H69)</f>
        <v>0</v>
      </c>
      <c r="I66" s="54">
        <f>SUM(I67,I69)</f>
        <v>0</v>
      </c>
    </row>
    <row r="67" spans="1:9" s="5" customFormat="1" ht="18.75">
      <c r="A67" s="55" t="s">
        <v>69</v>
      </c>
      <c r="B67" s="4" t="s">
        <v>3</v>
      </c>
      <c r="C67" s="7" t="s">
        <v>22</v>
      </c>
      <c r="D67" s="7" t="s">
        <v>180</v>
      </c>
      <c r="E67" s="7"/>
      <c r="F67" s="39">
        <f>F68</f>
        <v>4201.9</v>
      </c>
      <c r="G67" s="39">
        <f>G68</f>
        <v>4201.9</v>
      </c>
      <c r="H67" s="39">
        <f>H68</f>
        <v>0</v>
      </c>
      <c r="I67" s="59">
        <f>I68</f>
        <v>0</v>
      </c>
    </row>
    <row r="68" spans="1:9" s="30" customFormat="1" ht="37.5">
      <c r="A68" s="57" t="s">
        <v>124</v>
      </c>
      <c r="B68" s="28" t="s">
        <v>3</v>
      </c>
      <c r="C68" s="29" t="s">
        <v>22</v>
      </c>
      <c r="D68" s="29" t="s">
        <v>180</v>
      </c>
      <c r="E68" s="29" t="s">
        <v>20</v>
      </c>
      <c r="F68" s="35">
        <f>SUM(G68:I68)</f>
        <v>4201.9</v>
      </c>
      <c r="G68" s="36">
        <f>1885+960+706.2-122.4-91.3+900-15-47.6+15+12</f>
        <v>4201.9</v>
      </c>
      <c r="H68" s="36"/>
      <c r="I68" s="58"/>
    </row>
    <row r="69" spans="1:9" s="30" customFormat="1" ht="18.75" hidden="1">
      <c r="A69" s="55"/>
      <c r="B69" s="4"/>
      <c r="C69" s="7"/>
      <c r="D69" s="7"/>
      <c r="E69" s="7"/>
      <c r="F69" s="39">
        <f>F70</f>
        <v>0</v>
      </c>
      <c r="G69" s="39">
        <f>G70</f>
        <v>0</v>
      </c>
      <c r="H69" s="39">
        <f>H70</f>
        <v>0</v>
      </c>
      <c r="I69" s="59">
        <f>I70</f>
        <v>0</v>
      </c>
    </row>
    <row r="70" spans="1:9" s="30" customFormat="1" ht="18.75" hidden="1">
      <c r="A70" s="57"/>
      <c r="B70" s="28"/>
      <c r="C70" s="29"/>
      <c r="D70" s="29"/>
      <c r="E70" s="29"/>
      <c r="F70" s="35">
        <f>SUM(G70:I70)</f>
        <v>0</v>
      </c>
      <c r="G70" s="36"/>
      <c r="H70" s="36"/>
      <c r="I70" s="58"/>
    </row>
    <row r="71" spans="1:9" s="15" customFormat="1" ht="37.5">
      <c r="A71" s="53" t="s">
        <v>70</v>
      </c>
      <c r="B71" s="13" t="s">
        <v>3</v>
      </c>
      <c r="C71" s="14" t="s">
        <v>22</v>
      </c>
      <c r="D71" s="14" t="s">
        <v>327</v>
      </c>
      <c r="E71" s="14"/>
      <c r="F71" s="43">
        <f>F72</f>
        <v>9795.699999999999</v>
      </c>
      <c r="G71" s="43">
        <f>G72</f>
        <v>9795.699999999999</v>
      </c>
      <c r="H71" s="43">
        <f>H72</f>
        <v>0</v>
      </c>
      <c r="I71" s="54">
        <f>I72</f>
        <v>0</v>
      </c>
    </row>
    <row r="72" spans="1:9" s="30" customFormat="1" ht="18.75">
      <c r="A72" s="57" t="s">
        <v>118</v>
      </c>
      <c r="B72" s="28" t="s">
        <v>3</v>
      </c>
      <c r="C72" s="29" t="s">
        <v>22</v>
      </c>
      <c r="D72" s="29" t="s">
        <v>327</v>
      </c>
      <c r="E72" s="29" t="s">
        <v>23</v>
      </c>
      <c r="F72" s="35">
        <f>SUM(G72:I72)</f>
        <v>9795.699999999999</v>
      </c>
      <c r="G72" s="36">
        <f>9605.8+289.9-100</f>
        <v>9795.699999999999</v>
      </c>
      <c r="H72" s="36"/>
      <c r="I72" s="58"/>
    </row>
    <row r="73" spans="1:9" s="15" customFormat="1" ht="44.25" customHeight="1">
      <c r="A73" s="53" t="s">
        <v>344</v>
      </c>
      <c r="B73" s="13" t="s">
        <v>3</v>
      </c>
      <c r="C73" s="14" t="s">
        <v>22</v>
      </c>
      <c r="D73" s="14" t="s">
        <v>343</v>
      </c>
      <c r="E73" s="14"/>
      <c r="F73" s="43">
        <f aca="true" t="shared" si="6" ref="F73:I74">SUM(F74)</f>
        <v>440</v>
      </c>
      <c r="G73" s="43">
        <f t="shared" si="6"/>
        <v>440</v>
      </c>
      <c r="H73" s="43">
        <f t="shared" si="6"/>
        <v>0</v>
      </c>
      <c r="I73" s="54">
        <f t="shared" si="6"/>
        <v>0</v>
      </c>
    </row>
    <row r="74" spans="1:9" s="5" customFormat="1" ht="18.75">
      <c r="A74" s="55" t="s">
        <v>345</v>
      </c>
      <c r="B74" s="4" t="s">
        <v>3</v>
      </c>
      <c r="C74" s="7" t="s">
        <v>22</v>
      </c>
      <c r="D74" s="7" t="s">
        <v>346</v>
      </c>
      <c r="E74" s="7"/>
      <c r="F74" s="42">
        <f t="shared" si="6"/>
        <v>440</v>
      </c>
      <c r="G74" s="42">
        <f t="shared" si="6"/>
        <v>440</v>
      </c>
      <c r="H74" s="42">
        <f t="shared" si="6"/>
        <v>0</v>
      </c>
      <c r="I74" s="56">
        <f t="shared" si="6"/>
        <v>0</v>
      </c>
    </row>
    <row r="75" spans="1:9" s="30" customFormat="1" ht="18.75">
      <c r="A75" s="62" t="s">
        <v>153</v>
      </c>
      <c r="B75" s="28" t="s">
        <v>3</v>
      </c>
      <c r="C75" s="29" t="s">
        <v>22</v>
      </c>
      <c r="D75" s="29" t="s">
        <v>346</v>
      </c>
      <c r="E75" s="29" t="s">
        <v>152</v>
      </c>
      <c r="F75" s="35">
        <f>SUM(G75:I75)</f>
        <v>440</v>
      </c>
      <c r="G75" s="36">
        <f>22+396+22</f>
        <v>440</v>
      </c>
      <c r="H75" s="36"/>
      <c r="I75" s="58"/>
    </row>
    <row r="76" spans="1:9" s="30" customFormat="1" ht="18.75" hidden="1">
      <c r="A76" s="62"/>
      <c r="B76" s="28"/>
      <c r="C76" s="29"/>
      <c r="D76" s="29"/>
      <c r="E76" s="29"/>
      <c r="F76" s="35"/>
      <c r="G76" s="36"/>
      <c r="H76" s="36"/>
      <c r="I76" s="58"/>
    </row>
    <row r="77" spans="1:9" s="6" customFormat="1" ht="44.25" customHeight="1">
      <c r="A77" s="51" t="s">
        <v>34</v>
      </c>
      <c r="B77" s="45"/>
      <c r="C77" s="46"/>
      <c r="D77" s="46"/>
      <c r="E77" s="46"/>
      <c r="F77" s="47">
        <f>F78+F104+F108</f>
        <v>12995.5</v>
      </c>
      <c r="G77" s="47">
        <f>G78+G104+G108</f>
        <v>5617.499999999999</v>
      </c>
      <c r="H77" s="47">
        <f>H78+H104+H108</f>
        <v>0</v>
      </c>
      <c r="I77" s="52">
        <f>I78+I104+I108</f>
        <v>7378</v>
      </c>
    </row>
    <row r="78" spans="1:9" s="15" customFormat="1" ht="18.75">
      <c r="A78" s="53" t="s">
        <v>35</v>
      </c>
      <c r="B78" s="13" t="s">
        <v>5</v>
      </c>
      <c r="C78" s="14" t="s">
        <v>4</v>
      </c>
      <c r="D78" s="14"/>
      <c r="E78" s="14"/>
      <c r="F78" s="44">
        <f>SUM(F79,F97)</f>
        <v>8150.3</v>
      </c>
      <c r="G78" s="44">
        <f>SUM(G79,G97)</f>
        <v>772.3</v>
      </c>
      <c r="H78" s="44">
        <f>SUM(H79,H97)</f>
        <v>0</v>
      </c>
      <c r="I78" s="63">
        <f>SUM(I79,I97)</f>
        <v>7378</v>
      </c>
    </row>
    <row r="79" spans="1:9" s="15" customFormat="1" ht="26.25" customHeight="1">
      <c r="A79" s="53" t="s">
        <v>73</v>
      </c>
      <c r="B79" s="13" t="s">
        <v>5</v>
      </c>
      <c r="C79" s="14" t="s">
        <v>4</v>
      </c>
      <c r="D79" s="14" t="s">
        <v>181</v>
      </c>
      <c r="E79" s="14"/>
      <c r="F79" s="43">
        <f>SUM(F80,F82,F85,F88,F91,F94)</f>
        <v>7378</v>
      </c>
      <c r="G79" s="43">
        <f>SUM(G80,G82,G85,G88,G91,G94)</f>
        <v>0</v>
      </c>
      <c r="H79" s="43">
        <f>SUM(H80,H82,H85,H88,H91,H94)</f>
        <v>0</v>
      </c>
      <c r="I79" s="54">
        <f>SUM(I80,I82,I85,I88,I91,I94)</f>
        <v>7378</v>
      </c>
    </row>
    <row r="80" spans="1:9" s="5" customFormat="1" ht="96.75" customHeight="1" hidden="1">
      <c r="A80" s="55" t="s">
        <v>129</v>
      </c>
      <c r="B80" s="4" t="s">
        <v>5</v>
      </c>
      <c r="C80" s="7" t="s">
        <v>4</v>
      </c>
      <c r="D80" s="7" t="s">
        <v>182</v>
      </c>
      <c r="E80" s="7"/>
      <c r="F80" s="39">
        <f>F81</f>
        <v>0</v>
      </c>
      <c r="G80" s="39">
        <f>G81</f>
        <v>0</v>
      </c>
      <c r="H80" s="39">
        <f>H81</f>
        <v>0</v>
      </c>
      <c r="I80" s="59">
        <f>I81</f>
        <v>0</v>
      </c>
    </row>
    <row r="81" spans="1:9" s="30" customFormat="1" ht="56.25" hidden="1">
      <c r="A81" s="57" t="s">
        <v>122</v>
      </c>
      <c r="B81" s="28" t="s">
        <v>5</v>
      </c>
      <c r="C81" s="29" t="s">
        <v>4</v>
      </c>
      <c r="D81" s="29" t="s">
        <v>286</v>
      </c>
      <c r="E81" s="29" t="s">
        <v>25</v>
      </c>
      <c r="F81" s="35">
        <f>SUM(G81:I81)</f>
        <v>0</v>
      </c>
      <c r="G81" s="36"/>
      <c r="H81" s="36"/>
      <c r="I81" s="58"/>
    </row>
    <row r="82" spans="1:9" s="5" customFormat="1" ht="18.75">
      <c r="A82" s="55" t="s">
        <v>74</v>
      </c>
      <c r="B82" s="4" t="s">
        <v>5</v>
      </c>
      <c r="C82" s="7" t="s">
        <v>4</v>
      </c>
      <c r="D82" s="7" t="s">
        <v>183</v>
      </c>
      <c r="E82" s="7"/>
      <c r="F82" s="39">
        <f>F83</f>
        <v>4308</v>
      </c>
      <c r="G82" s="39">
        <f aca="true" t="shared" si="7" ref="G82:I83">G83</f>
        <v>0</v>
      </c>
      <c r="H82" s="39">
        <f t="shared" si="7"/>
        <v>0</v>
      </c>
      <c r="I82" s="59">
        <f t="shared" si="7"/>
        <v>4308</v>
      </c>
    </row>
    <row r="83" spans="1:9" s="5" customFormat="1" ht="18.75">
      <c r="A83" s="55" t="s">
        <v>309</v>
      </c>
      <c r="B83" s="4" t="s">
        <v>5</v>
      </c>
      <c r="C83" s="7" t="s">
        <v>4</v>
      </c>
      <c r="D83" s="7" t="s">
        <v>287</v>
      </c>
      <c r="E83" s="7"/>
      <c r="F83" s="39">
        <f>F84</f>
        <v>4308</v>
      </c>
      <c r="G83" s="39">
        <f t="shared" si="7"/>
        <v>0</v>
      </c>
      <c r="H83" s="39">
        <f t="shared" si="7"/>
        <v>0</v>
      </c>
      <c r="I83" s="59">
        <f t="shared" si="7"/>
        <v>4308</v>
      </c>
    </row>
    <row r="84" spans="1:9" s="30" customFormat="1" ht="56.25">
      <c r="A84" s="57" t="s">
        <v>122</v>
      </c>
      <c r="B84" s="28" t="s">
        <v>5</v>
      </c>
      <c r="C84" s="29" t="s">
        <v>4</v>
      </c>
      <c r="D84" s="29" t="s">
        <v>287</v>
      </c>
      <c r="E84" s="29" t="s">
        <v>25</v>
      </c>
      <c r="F84" s="35">
        <f>SUM(G84:I84)</f>
        <v>4308</v>
      </c>
      <c r="G84" s="36"/>
      <c r="H84" s="36"/>
      <c r="I84" s="58">
        <v>4308</v>
      </c>
    </row>
    <row r="85" spans="1:9" s="5" customFormat="1" ht="37.5">
      <c r="A85" s="55" t="s">
        <v>75</v>
      </c>
      <c r="B85" s="4" t="s">
        <v>5</v>
      </c>
      <c r="C85" s="7" t="s">
        <v>4</v>
      </c>
      <c r="D85" s="7" t="s">
        <v>184</v>
      </c>
      <c r="E85" s="7"/>
      <c r="F85" s="39">
        <f>F86</f>
        <v>2646.2</v>
      </c>
      <c r="G85" s="39">
        <f aca="true" t="shared" si="8" ref="G85:I86">G86</f>
        <v>0</v>
      </c>
      <c r="H85" s="39">
        <f t="shared" si="8"/>
        <v>0</v>
      </c>
      <c r="I85" s="59">
        <f t="shared" si="8"/>
        <v>2646.2</v>
      </c>
    </row>
    <row r="86" spans="1:9" s="5" customFormat="1" ht="56.25">
      <c r="A86" s="55" t="s">
        <v>310</v>
      </c>
      <c r="B86" s="4" t="s">
        <v>5</v>
      </c>
      <c r="C86" s="7" t="s">
        <v>4</v>
      </c>
      <c r="D86" s="7" t="s">
        <v>288</v>
      </c>
      <c r="E86" s="7"/>
      <c r="F86" s="39">
        <f>F87</f>
        <v>2646.2</v>
      </c>
      <c r="G86" s="39">
        <f t="shared" si="8"/>
        <v>0</v>
      </c>
      <c r="H86" s="39">
        <f t="shared" si="8"/>
        <v>0</v>
      </c>
      <c r="I86" s="59">
        <f t="shared" si="8"/>
        <v>2646.2</v>
      </c>
    </row>
    <row r="87" spans="1:9" s="30" customFormat="1" ht="56.25">
      <c r="A87" s="57" t="s">
        <v>122</v>
      </c>
      <c r="B87" s="28" t="s">
        <v>5</v>
      </c>
      <c r="C87" s="29" t="s">
        <v>4</v>
      </c>
      <c r="D87" s="29" t="s">
        <v>288</v>
      </c>
      <c r="E87" s="29" t="s">
        <v>25</v>
      </c>
      <c r="F87" s="35">
        <f>SUM(G87:I87)</f>
        <v>2646.2</v>
      </c>
      <c r="G87" s="36"/>
      <c r="H87" s="36"/>
      <c r="I87" s="58">
        <f>2658+0.7-12.5</f>
        <v>2646.2</v>
      </c>
    </row>
    <row r="88" spans="1:9" s="5" customFormat="1" ht="18.75" hidden="1">
      <c r="A88" s="55" t="s">
        <v>76</v>
      </c>
      <c r="B88" s="4" t="s">
        <v>5</v>
      </c>
      <c r="C88" s="7" t="s">
        <v>4</v>
      </c>
      <c r="D88" s="7" t="s">
        <v>185</v>
      </c>
      <c r="E88" s="7"/>
      <c r="F88" s="39">
        <f>F89</f>
        <v>0</v>
      </c>
      <c r="G88" s="39">
        <f aca="true" t="shared" si="9" ref="G88:I89">G89</f>
        <v>0</v>
      </c>
      <c r="H88" s="39">
        <f t="shared" si="9"/>
        <v>0</v>
      </c>
      <c r="I88" s="59">
        <f t="shared" si="9"/>
        <v>0</v>
      </c>
    </row>
    <row r="89" spans="1:9" s="5" customFormat="1" ht="18.75" hidden="1">
      <c r="A89" s="55" t="s">
        <v>311</v>
      </c>
      <c r="B89" s="4" t="s">
        <v>5</v>
      </c>
      <c r="C89" s="7" t="s">
        <v>4</v>
      </c>
      <c r="D89" s="7" t="s">
        <v>289</v>
      </c>
      <c r="E89" s="7"/>
      <c r="F89" s="39">
        <f>F90</f>
        <v>0</v>
      </c>
      <c r="G89" s="39">
        <f t="shared" si="9"/>
        <v>0</v>
      </c>
      <c r="H89" s="39">
        <f t="shared" si="9"/>
        <v>0</v>
      </c>
      <c r="I89" s="59">
        <f t="shared" si="9"/>
        <v>0</v>
      </c>
    </row>
    <row r="90" spans="1:9" s="30" customFormat="1" ht="56.25" hidden="1">
      <c r="A90" s="57" t="s">
        <v>122</v>
      </c>
      <c r="B90" s="28" t="s">
        <v>5</v>
      </c>
      <c r="C90" s="29" t="s">
        <v>4</v>
      </c>
      <c r="D90" s="29" t="s">
        <v>289</v>
      </c>
      <c r="E90" s="29" t="s">
        <v>25</v>
      </c>
      <c r="F90" s="35">
        <f>SUM(G90:I90)</f>
        <v>0</v>
      </c>
      <c r="G90" s="36"/>
      <c r="H90" s="36"/>
      <c r="I90" s="58"/>
    </row>
    <row r="91" spans="1:9" s="5" customFormat="1" ht="18.75">
      <c r="A91" s="55" t="s">
        <v>77</v>
      </c>
      <c r="B91" s="4" t="s">
        <v>5</v>
      </c>
      <c r="C91" s="7" t="s">
        <v>4</v>
      </c>
      <c r="D91" s="7" t="s">
        <v>186</v>
      </c>
      <c r="E91" s="7"/>
      <c r="F91" s="39">
        <f>F92</f>
        <v>26.5</v>
      </c>
      <c r="G91" s="39">
        <f aca="true" t="shared" si="10" ref="G91:I92">G92</f>
        <v>0</v>
      </c>
      <c r="H91" s="39">
        <f t="shared" si="10"/>
        <v>0</v>
      </c>
      <c r="I91" s="59">
        <f t="shared" si="10"/>
        <v>26.5</v>
      </c>
    </row>
    <row r="92" spans="1:9" s="5" customFormat="1" ht="18.75">
      <c r="A92" s="55" t="s">
        <v>312</v>
      </c>
      <c r="B92" s="4" t="s">
        <v>5</v>
      </c>
      <c r="C92" s="7" t="s">
        <v>4</v>
      </c>
      <c r="D92" s="7" t="s">
        <v>290</v>
      </c>
      <c r="E92" s="7"/>
      <c r="F92" s="39">
        <f>F93</f>
        <v>26.5</v>
      </c>
      <c r="G92" s="39">
        <f t="shared" si="10"/>
        <v>0</v>
      </c>
      <c r="H92" s="39">
        <f t="shared" si="10"/>
        <v>0</v>
      </c>
      <c r="I92" s="59">
        <f t="shared" si="10"/>
        <v>26.5</v>
      </c>
    </row>
    <row r="93" spans="1:9" s="30" customFormat="1" ht="56.25">
      <c r="A93" s="57" t="s">
        <v>122</v>
      </c>
      <c r="B93" s="28" t="s">
        <v>5</v>
      </c>
      <c r="C93" s="29" t="s">
        <v>4</v>
      </c>
      <c r="D93" s="29" t="s">
        <v>290</v>
      </c>
      <c r="E93" s="29" t="s">
        <v>25</v>
      </c>
      <c r="F93" s="35">
        <f>SUM(G93:I93)</f>
        <v>26.5</v>
      </c>
      <c r="G93" s="36"/>
      <c r="H93" s="36"/>
      <c r="I93" s="58">
        <f>12.5+14</f>
        <v>26.5</v>
      </c>
    </row>
    <row r="94" spans="1:9" s="5" customFormat="1" ht="56.25">
      <c r="A94" s="55" t="s">
        <v>78</v>
      </c>
      <c r="B94" s="4" t="s">
        <v>5</v>
      </c>
      <c r="C94" s="7" t="s">
        <v>4</v>
      </c>
      <c r="D94" s="7" t="s">
        <v>187</v>
      </c>
      <c r="E94" s="7"/>
      <c r="F94" s="39">
        <f>F95</f>
        <v>397.3</v>
      </c>
      <c r="G94" s="39">
        <f aca="true" t="shared" si="11" ref="G94:I95">G95</f>
        <v>0</v>
      </c>
      <c r="H94" s="39">
        <f t="shared" si="11"/>
        <v>0</v>
      </c>
      <c r="I94" s="59">
        <f t="shared" si="11"/>
        <v>397.3</v>
      </c>
    </row>
    <row r="95" spans="1:9" s="5" customFormat="1" ht="56.25">
      <c r="A95" s="55" t="s">
        <v>313</v>
      </c>
      <c r="B95" s="4" t="s">
        <v>5</v>
      </c>
      <c r="C95" s="7" t="s">
        <v>4</v>
      </c>
      <c r="D95" s="7" t="s">
        <v>291</v>
      </c>
      <c r="E95" s="7"/>
      <c r="F95" s="39">
        <f>F96</f>
        <v>397.3</v>
      </c>
      <c r="G95" s="39">
        <f t="shared" si="11"/>
        <v>0</v>
      </c>
      <c r="H95" s="39">
        <f t="shared" si="11"/>
        <v>0</v>
      </c>
      <c r="I95" s="59">
        <f t="shared" si="11"/>
        <v>397.3</v>
      </c>
    </row>
    <row r="96" spans="1:9" s="30" customFormat="1" ht="18.75">
      <c r="A96" s="57" t="s">
        <v>120</v>
      </c>
      <c r="B96" s="28" t="s">
        <v>5</v>
      </c>
      <c r="C96" s="29" t="s">
        <v>4</v>
      </c>
      <c r="D96" s="29" t="s">
        <v>291</v>
      </c>
      <c r="E96" s="29" t="s">
        <v>6</v>
      </c>
      <c r="F96" s="35">
        <f>SUM(G96:I96)</f>
        <v>397.3</v>
      </c>
      <c r="G96" s="36"/>
      <c r="H96" s="36"/>
      <c r="I96" s="58">
        <f>412-0.7-14</f>
        <v>397.3</v>
      </c>
    </row>
    <row r="97" spans="1:9" s="5" customFormat="1" ht="18.75">
      <c r="A97" s="53" t="s">
        <v>384</v>
      </c>
      <c r="B97" s="13" t="s">
        <v>5</v>
      </c>
      <c r="C97" s="14" t="s">
        <v>4</v>
      </c>
      <c r="D97" s="14" t="s">
        <v>206</v>
      </c>
      <c r="E97" s="14"/>
      <c r="F97" s="43">
        <f>SUM(F98,F100,F102)</f>
        <v>772.3</v>
      </c>
      <c r="G97" s="43">
        <f>SUM(G98,G100,G102)</f>
        <v>772.3</v>
      </c>
      <c r="H97" s="43">
        <f>SUM(H98,H100,H102)</f>
        <v>0</v>
      </c>
      <c r="I97" s="54">
        <f>SUM(I98,I100,I102)</f>
        <v>0</v>
      </c>
    </row>
    <row r="98" spans="1:9" s="5" customFormat="1" ht="75">
      <c r="A98" s="53" t="s">
        <v>401</v>
      </c>
      <c r="B98" s="4" t="s">
        <v>5</v>
      </c>
      <c r="C98" s="7" t="s">
        <v>4</v>
      </c>
      <c r="D98" s="7" t="s">
        <v>385</v>
      </c>
      <c r="E98" s="7"/>
      <c r="F98" s="39">
        <f>F99</f>
        <v>175</v>
      </c>
      <c r="G98" s="39">
        <f aca="true" t="shared" si="12" ref="G98:I102">G99</f>
        <v>175</v>
      </c>
      <c r="H98" s="39">
        <f t="shared" si="12"/>
        <v>0</v>
      </c>
      <c r="I98" s="59">
        <f t="shared" si="12"/>
        <v>0</v>
      </c>
    </row>
    <row r="99" spans="1:9" s="30" customFormat="1" ht="37.5">
      <c r="A99" s="57" t="s">
        <v>124</v>
      </c>
      <c r="B99" s="28" t="s">
        <v>5</v>
      </c>
      <c r="C99" s="29" t="s">
        <v>4</v>
      </c>
      <c r="D99" s="29" t="s">
        <v>385</v>
      </c>
      <c r="E99" s="29" t="s">
        <v>20</v>
      </c>
      <c r="F99" s="35">
        <f>SUM(G99:I99)</f>
        <v>175</v>
      </c>
      <c r="G99" s="36">
        <v>175</v>
      </c>
      <c r="H99" s="36"/>
      <c r="I99" s="58"/>
    </row>
    <row r="100" spans="1:9" s="30" customFormat="1" ht="82.5" customHeight="1">
      <c r="A100" s="87" t="s">
        <v>403</v>
      </c>
      <c r="B100" s="4" t="s">
        <v>5</v>
      </c>
      <c r="C100" s="7" t="s">
        <v>4</v>
      </c>
      <c r="D100" s="7" t="s">
        <v>404</v>
      </c>
      <c r="E100" s="7"/>
      <c r="F100" s="39">
        <f>F101</f>
        <v>315.7</v>
      </c>
      <c r="G100" s="39">
        <f t="shared" si="12"/>
        <v>315.7</v>
      </c>
      <c r="H100" s="39">
        <f t="shared" si="12"/>
        <v>0</v>
      </c>
      <c r="I100" s="59">
        <f t="shared" si="12"/>
        <v>0</v>
      </c>
    </row>
    <row r="101" spans="1:9" s="30" customFormat="1" ht="37.5">
      <c r="A101" s="57" t="s">
        <v>124</v>
      </c>
      <c r="B101" s="28" t="s">
        <v>5</v>
      </c>
      <c r="C101" s="29" t="s">
        <v>4</v>
      </c>
      <c r="D101" s="29" t="s">
        <v>404</v>
      </c>
      <c r="E101" s="29" t="s">
        <v>20</v>
      </c>
      <c r="F101" s="35">
        <f>SUM(G101:I101)</f>
        <v>315.7</v>
      </c>
      <c r="G101" s="36">
        <f>320-4.3</f>
        <v>315.7</v>
      </c>
      <c r="H101" s="36"/>
      <c r="I101" s="58"/>
    </row>
    <row r="102" spans="1:9" s="30" customFormat="1" ht="75">
      <c r="A102" s="87" t="s">
        <v>405</v>
      </c>
      <c r="B102" s="4" t="s">
        <v>5</v>
      </c>
      <c r="C102" s="7" t="s">
        <v>4</v>
      </c>
      <c r="D102" s="7" t="s">
        <v>406</v>
      </c>
      <c r="E102" s="7"/>
      <c r="F102" s="39">
        <f>F103</f>
        <v>281.6</v>
      </c>
      <c r="G102" s="39">
        <f t="shared" si="12"/>
        <v>281.6</v>
      </c>
      <c r="H102" s="39">
        <f t="shared" si="12"/>
        <v>0</v>
      </c>
      <c r="I102" s="59">
        <f t="shared" si="12"/>
        <v>0</v>
      </c>
    </row>
    <row r="103" spans="1:9" s="30" customFormat="1" ht="37.5">
      <c r="A103" s="57" t="s">
        <v>124</v>
      </c>
      <c r="B103" s="28" t="s">
        <v>5</v>
      </c>
      <c r="C103" s="29" t="s">
        <v>4</v>
      </c>
      <c r="D103" s="29" t="s">
        <v>406</v>
      </c>
      <c r="E103" s="29" t="s">
        <v>20</v>
      </c>
      <c r="F103" s="35">
        <f>SUM(G103:I103)</f>
        <v>281.6</v>
      </c>
      <c r="G103" s="36">
        <f>820-538.4</f>
        <v>281.6</v>
      </c>
      <c r="H103" s="36"/>
      <c r="I103" s="58"/>
    </row>
    <row r="104" spans="1:9" s="30" customFormat="1" ht="31.5" customHeight="1">
      <c r="A104" s="89" t="s">
        <v>409</v>
      </c>
      <c r="B104" s="13" t="s">
        <v>5</v>
      </c>
      <c r="C104" s="14" t="s">
        <v>15</v>
      </c>
      <c r="D104" s="29"/>
      <c r="E104" s="29"/>
      <c r="F104" s="43">
        <f aca="true" t="shared" si="13" ref="F104:I106">F105</f>
        <v>1444.1</v>
      </c>
      <c r="G104" s="43">
        <f t="shared" si="13"/>
        <v>1444.1</v>
      </c>
      <c r="H104" s="43">
        <f t="shared" si="13"/>
        <v>0</v>
      </c>
      <c r="I104" s="54">
        <f t="shared" si="13"/>
        <v>0</v>
      </c>
    </row>
    <row r="105" spans="1:9" s="30" customFormat="1" ht="26.25" customHeight="1">
      <c r="A105" s="88" t="s">
        <v>384</v>
      </c>
      <c r="B105" s="13" t="s">
        <v>5</v>
      </c>
      <c r="C105" s="14" t="s">
        <v>15</v>
      </c>
      <c r="D105" s="14" t="s">
        <v>206</v>
      </c>
      <c r="E105" s="14"/>
      <c r="F105" s="43">
        <f t="shared" si="13"/>
        <v>1444.1</v>
      </c>
      <c r="G105" s="43">
        <f t="shared" si="13"/>
        <v>1444.1</v>
      </c>
      <c r="H105" s="43">
        <f t="shared" si="13"/>
        <v>0</v>
      </c>
      <c r="I105" s="54">
        <f t="shared" si="13"/>
        <v>0</v>
      </c>
    </row>
    <row r="106" spans="1:9" s="30" customFormat="1" ht="75">
      <c r="A106" s="89" t="s">
        <v>407</v>
      </c>
      <c r="B106" s="13" t="s">
        <v>5</v>
      </c>
      <c r="C106" s="14" t="s">
        <v>15</v>
      </c>
      <c r="D106" s="7" t="s">
        <v>408</v>
      </c>
      <c r="E106" s="7"/>
      <c r="F106" s="39">
        <f t="shared" si="13"/>
        <v>1444.1</v>
      </c>
      <c r="G106" s="39">
        <f t="shared" si="13"/>
        <v>1444.1</v>
      </c>
      <c r="H106" s="39">
        <f t="shared" si="13"/>
        <v>0</v>
      </c>
      <c r="I106" s="59">
        <f t="shared" si="13"/>
        <v>0</v>
      </c>
    </row>
    <row r="107" spans="1:9" s="30" customFormat="1" ht="37.5">
      <c r="A107" s="57" t="s">
        <v>124</v>
      </c>
      <c r="B107" s="28" t="s">
        <v>5</v>
      </c>
      <c r="C107" s="29" t="s">
        <v>15</v>
      </c>
      <c r="D107" s="29" t="s">
        <v>408</v>
      </c>
      <c r="E107" s="29" t="s">
        <v>20</v>
      </c>
      <c r="F107" s="35">
        <f>SUM(G107:I107)</f>
        <v>1444.1</v>
      </c>
      <c r="G107" s="36">
        <f>1000+444.1</f>
        <v>1444.1</v>
      </c>
      <c r="H107" s="36"/>
      <c r="I107" s="58"/>
    </row>
    <row r="108" spans="1:9" s="30" customFormat="1" ht="40.5" customHeight="1">
      <c r="A108" s="89" t="s">
        <v>410</v>
      </c>
      <c r="B108" s="13" t="s">
        <v>5</v>
      </c>
      <c r="C108" s="14" t="s">
        <v>22</v>
      </c>
      <c r="D108" s="29"/>
      <c r="E108" s="29"/>
      <c r="F108" s="43">
        <f>F109</f>
        <v>3401.0999999999995</v>
      </c>
      <c r="G108" s="43">
        <f aca="true" t="shared" si="14" ref="G108:I110">G109</f>
        <v>3401.0999999999995</v>
      </c>
      <c r="H108" s="43">
        <f>H109</f>
        <v>0</v>
      </c>
      <c r="I108" s="54">
        <f>I109</f>
        <v>0</v>
      </c>
    </row>
    <row r="109" spans="1:9" s="30" customFormat="1" ht="25.5" customHeight="1">
      <c r="A109" s="88" t="s">
        <v>384</v>
      </c>
      <c r="B109" s="13" t="s">
        <v>5</v>
      </c>
      <c r="C109" s="14" t="s">
        <v>22</v>
      </c>
      <c r="D109" s="14" t="s">
        <v>206</v>
      </c>
      <c r="E109" s="14"/>
      <c r="F109" s="43">
        <f>F110</f>
        <v>3401.0999999999995</v>
      </c>
      <c r="G109" s="43">
        <f t="shared" si="14"/>
        <v>3401.0999999999995</v>
      </c>
      <c r="H109" s="43">
        <f t="shared" si="14"/>
        <v>0</v>
      </c>
      <c r="I109" s="54">
        <f t="shared" si="14"/>
        <v>0</v>
      </c>
    </row>
    <row r="110" spans="1:9" s="30" customFormat="1" ht="75">
      <c r="A110" s="72" t="s">
        <v>411</v>
      </c>
      <c r="B110" s="13" t="s">
        <v>5</v>
      </c>
      <c r="C110" s="14" t="s">
        <v>22</v>
      </c>
      <c r="D110" s="7" t="s">
        <v>412</v>
      </c>
      <c r="E110" s="7"/>
      <c r="F110" s="39">
        <f>F111</f>
        <v>3401.0999999999995</v>
      </c>
      <c r="G110" s="39">
        <f t="shared" si="14"/>
        <v>3401.0999999999995</v>
      </c>
      <c r="H110" s="39">
        <f t="shared" si="14"/>
        <v>0</v>
      </c>
      <c r="I110" s="59">
        <f t="shared" si="14"/>
        <v>0</v>
      </c>
    </row>
    <row r="111" spans="1:9" s="30" customFormat="1" ht="37.5">
      <c r="A111" s="57" t="s">
        <v>124</v>
      </c>
      <c r="B111" s="28" t="s">
        <v>5</v>
      </c>
      <c r="C111" s="29" t="s">
        <v>22</v>
      </c>
      <c r="D111" s="29" t="s">
        <v>412</v>
      </c>
      <c r="E111" s="29" t="s">
        <v>20</v>
      </c>
      <c r="F111" s="35">
        <f>SUM(G111:I111)</f>
        <v>3401.0999999999995</v>
      </c>
      <c r="G111" s="36">
        <f>6+1311+156.3+392.3+73.6+156.4+73.6+344.5+22.6+375.6+489.2</f>
        <v>3401.0999999999995</v>
      </c>
      <c r="H111" s="36"/>
      <c r="I111" s="58"/>
    </row>
    <row r="112" spans="1:9" s="6" customFormat="1" ht="21.75" customHeight="1">
      <c r="A112" s="51" t="s">
        <v>36</v>
      </c>
      <c r="B112" s="45" t="s">
        <v>7</v>
      </c>
      <c r="C112" s="46" t="s">
        <v>18</v>
      </c>
      <c r="D112" s="46"/>
      <c r="E112" s="46"/>
      <c r="F112" s="47">
        <f>SUM(F113,F118,F125,F132)</f>
        <v>54699.3</v>
      </c>
      <c r="G112" s="47">
        <f>SUM(G113,G118,G125,G132)</f>
        <v>52727.600000000006</v>
      </c>
      <c r="H112" s="47">
        <f>SUM(H113,H118,H125,H132)</f>
        <v>0</v>
      </c>
      <c r="I112" s="52">
        <f>SUM(I113,I118,I125,I132)</f>
        <v>1971.7</v>
      </c>
    </row>
    <row r="113" spans="1:9" s="6" customFormat="1" ht="18.75">
      <c r="A113" s="64" t="s">
        <v>371</v>
      </c>
      <c r="B113" s="16" t="s">
        <v>7</v>
      </c>
      <c r="C113" s="17" t="s">
        <v>3</v>
      </c>
      <c r="D113" s="17"/>
      <c r="E113" s="17"/>
      <c r="F113" s="44">
        <f>SUM(G113:I113)</f>
        <v>2063</v>
      </c>
      <c r="G113" s="44">
        <f>G114</f>
        <v>91.3</v>
      </c>
      <c r="H113" s="44">
        <f>H114</f>
        <v>0</v>
      </c>
      <c r="I113" s="63">
        <f>I114</f>
        <v>1971.7</v>
      </c>
    </row>
    <row r="114" spans="1:9" s="6" customFormat="1" ht="18.75">
      <c r="A114" s="64" t="s">
        <v>372</v>
      </c>
      <c r="B114" s="16" t="s">
        <v>7</v>
      </c>
      <c r="C114" s="17" t="s">
        <v>3</v>
      </c>
      <c r="D114" s="41" t="s">
        <v>370</v>
      </c>
      <c r="E114" s="17"/>
      <c r="F114" s="44">
        <f>SUM(F116:F117)</f>
        <v>2063</v>
      </c>
      <c r="G114" s="44">
        <f>SUM(G116:G117)</f>
        <v>91.3</v>
      </c>
      <c r="H114" s="44">
        <f>SUM(H116:H117)</f>
        <v>0</v>
      </c>
      <c r="I114" s="63">
        <f>SUM(I116:I117)</f>
        <v>1971.7</v>
      </c>
    </row>
    <row r="115" spans="1:9" s="6" customFormat="1" ht="56.25" hidden="1">
      <c r="A115" s="60" t="s">
        <v>373</v>
      </c>
      <c r="B115" s="9" t="s">
        <v>7</v>
      </c>
      <c r="C115" s="10" t="s">
        <v>3</v>
      </c>
      <c r="D115" s="10" t="s">
        <v>370</v>
      </c>
      <c r="E115" s="10" t="s">
        <v>26</v>
      </c>
      <c r="F115" s="42">
        <f>SUM(G115:I115)</f>
        <v>0</v>
      </c>
      <c r="G115" s="42"/>
      <c r="H115" s="44"/>
      <c r="I115" s="63"/>
    </row>
    <row r="116" spans="1:9" s="6" customFormat="1" ht="37.5">
      <c r="A116" s="60" t="s">
        <v>456</v>
      </c>
      <c r="B116" s="9" t="s">
        <v>7</v>
      </c>
      <c r="C116" s="10" t="s">
        <v>3</v>
      </c>
      <c r="D116" s="10" t="s">
        <v>370</v>
      </c>
      <c r="E116" s="10" t="s">
        <v>21</v>
      </c>
      <c r="F116" s="42">
        <f>SUM(G116:I116)</f>
        <v>91.3</v>
      </c>
      <c r="G116" s="42">
        <v>91.3</v>
      </c>
      <c r="H116" s="44"/>
      <c r="I116" s="63"/>
    </row>
    <row r="117" spans="1:9" s="6" customFormat="1" ht="56.25">
      <c r="A117" s="60" t="s">
        <v>457</v>
      </c>
      <c r="B117" s="9" t="s">
        <v>7</v>
      </c>
      <c r="C117" s="10" t="s">
        <v>3</v>
      </c>
      <c r="D117" s="10" t="s">
        <v>458</v>
      </c>
      <c r="E117" s="10" t="s">
        <v>21</v>
      </c>
      <c r="F117" s="42">
        <f>SUM(G117:I117)</f>
        <v>1971.7</v>
      </c>
      <c r="G117" s="42"/>
      <c r="H117" s="44"/>
      <c r="I117" s="56">
        <f>330+1327+164.7+150</f>
        <v>1971.7</v>
      </c>
    </row>
    <row r="118" spans="1:9" s="15" customFormat="1" ht="18.75">
      <c r="A118" s="53" t="s">
        <v>140</v>
      </c>
      <c r="B118" s="13" t="s">
        <v>7</v>
      </c>
      <c r="C118" s="14" t="s">
        <v>9</v>
      </c>
      <c r="D118" s="14"/>
      <c r="E118" s="14"/>
      <c r="F118" s="44">
        <f>F119</f>
        <v>10343</v>
      </c>
      <c r="G118" s="44">
        <f>G119</f>
        <v>10343</v>
      </c>
      <c r="H118" s="44">
        <f>H119</f>
        <v>0</v>
      </c>
      <c r="I118" s="63">
        <f>I119</f>
        <v>0</v>
      </c>
    </row>
    <row r="119" spans="1:9" s="15" customFormat="1" ht="18.75">
      <c r="A119" s="53" t="s">
        <v>141</v>
      </c>
      <c r="B119" s="13" t="s">
        <v>7</v>
      </c>
      <c r="C119" s="14" t="s">
        <v>9</v>
      </c>
      <c r="D119" s="14" t="s">
        <v>188</v>
      </c>
      <c r="E119" s="14"/>
      <c r="F119" s="43">
        <f>SUM(F120)</f>
        <v>10343</v>
      </c>
      <c r="G119" s="43">
        <f>SUM(G120)</f>
        <v>10343</v>
      </c>
      <c r="H119" s="43">
        <f>SUM(H120)</f>
        <v>0</v>
      </c>
      <c r="I119" s="54">
        <f>SUM(I120)</f>
        <v>0</v>
      </c>
    </row>
    <row r="120" spans="1:9" s="11" customFormat="1" ht="93.75">
      <c r="A120" s="60" t="s">
        <v>142</v>
      </c>
      <c r="B120" s="9" t="s">
        <v>7</v>
      </c>
      <c r="C120" s="10" t="s">
        <v>9</v>
      </c>
      <c r="D120" s="10" t="s">
        <v>189</v>
      </c>
      <c r="E120" s="10"/>
      <c r="F120" s="39">
        <f>SUM(F121,F123)</f>
        <v>10343</v>
      </c>
      <c r="G120" s="39">
        <f>SUM(G121,G123)</f>
        <v>10343</v>
      </c>
      <c r="H120" s="39">
        <f>SUM(H121,H123)</f>
        <v>0</v>
      </c>
      <c r="I120" s="59">
        <f>SUM(I121,I123)</f>
        <v>0</v>
      </c>
    </row>
    <row r="121" spans="1:9" s="11" customFormat="1" ht="98.25" customHeight="1">
      <c r="A121" s="60" t="s">
        <v>362</v>
      </c>
      <c r="B121" s="9" t="s">
        <v>7</v>
      </c>
      <c r="C121" s="10" t="s">
        <v>9</v>
      </c>
      <c r="D121" s="10" t="s">
        <v>335</v>
      </c>
      <c r="E121" s="10"/>
      <c r="F121" s="39">
        <f>SUM(F122:F122)</f>
        <v>2343</v>
      </c>
      <c r="G121" s="39">
        <f>SUM(G122:G122)</f>
        <v>2343</v>
      </c>
      <c r="H121" s="39">
        <f>SUM(H122:H122)</f>
        <v>0</v>
      </c>
      <c r="I121" s="59">
        <f>SUM(I122:I122)</f>
        <v>0</v>
      </c>
    </row>
    <row r="122" spans="1:9" s="30" customFormat="1" ht="18.75">
      <c r="A122" s="57" t="s">
        <v>155</v>
      </c>
      <c r="B122" s="28" t="s">
        <v>7</v>
      </c>
      <c r="C122" s="29" t="s">
        <v>9</v>
      </c>
      <c r="D122" s="29" t="s">
        <v>335</v>
      </c>
      <c r="E122" s="29" t="s">
        <v>23</v>
      </c>
      <c r="F122" s="35">
        <f>SUM(G122:I122)</f>
        <v>2343</v>
      </c>
      <c r="G122" s="35">
        <f>400+1921+22</f>
        <v>2343</v>
      </c>
      <c r="H122" s="35"/>
      <c r="I122" s="61"/>
    </row>
    <row r="123" spans="1:9" s="11" customFormat="1" ht="95.25" customHeight="1">
      <c r="A123" s="60" t="s">
        <v>363</v>
      </c>
      <c r="B123" s="9" t="s">
        <v>7</v>
      </c>
      <c r="C123" s="10" t="s">
        <v>9</v>
      </c>
      <c r="D123" s="10" t="s">
        <v>364</v>
      </c>
      <c r="E123" s="10"/>
      <c r="F123" s="39">
        <f>SUM(F124:F124)</f>
        <v>8000</v>
      </c>
      <c r="G123" s="39">
        <f>SUM(G124:G124)</f>
        <v>8000</v>
      </c>
      <c r="H123" s="39">
        <f>SUM(H124:H124)</f>
        <v>0</v>
      </c>
      <c r="I123" s="59">
        <f>SUM(I124:I124)</f>
        <v>0</v>
      </c>
    </row>
    <row r="124" spans="1:9" s="30" customFormat="1" ht="16.5" customHeight="1">
      <c r="A124" s="57" t="s">
        <v>155</v>
      </c>
      <c r="B124" s="28" t="s">
        <v>7</v>
      </c>
      <c r="C124" s="29" t="s">
        <v>9</v>
      </c>
      <c r="D124" s="29" t="s">
        <v>364</v>
      </c>
      <c r="E124" s="29" t="s">
        <v>23</v>
      </c>
      <c r="F124" s="35">
        <f>SUM(G124:I124)</f>
        <v>8000</v>
      </c>
      <c r="G124" s="35">
        <v>8000</v>
      </c>
      <c r="H124" s="35"/>
      <c r="I124" s="61"/>
    </row>
    <row r="125" spans="1:9" s="15" customFormat="1" ht="18.75" hidden="1">
      <c r="A125" s="53" t="s">
        <v>37</v>
      </c>
      <c r="B125" s="13" t="s">
        <v>7</v>
      </c>
      <c r="C125" s="14" t="s">
        <v>12</v>
      </c>
      <c r="D125" s="14"/>
      <c r="E125" s="14"/>
      <c r="F125" s="43">
        <f>SUM(F126)</f>
        <v>0</v>
      </c>
      <c r="G125" s="43">
        <f>SUM(G126)</f>
        <v>0</v>
      </c>
      <c r="H125" s="43">
        <f>SUM(H126)</f>
        <v>0</v>
      </c>
      <c r="I125" s="54">
        <f>SUM(I126)</f>
        <v>0</v>
      </c>
    </row>
    <row r="126" spans="1:9" s="15" customFormat="1" ht="18.75" hidden="1">
      <c r="A126" s="53"/>
      <c r="B126" s="13"/>
      <c r="C126" s="14"/>
      <c r="D126" s="14"/>
      <c r="E126" s="14"/>
      <c r="F126" s="43"/>
      <c r="G126" s="43"/>
      <c r="H126" s="43"/>
      <c r="I126" s="54"/>
    </row>
    <row r="127" spans="1:9" s="15" customFormat="1" ht="18.75" hidden="1">
      <c r="A127" s="83"/>
      <c r="B127" s="77"/>
      <c r="C127" s="77"/>
      <c r="D127" s="77"/>
      <c r="E127" s="77"/>
      <c r="F127" s="77"/>
      <c r="G127" s="77"/>
      <c r="H127" s="77"/>
      <c r="I127" s="84"/>
    </row>
    <row r="128" spans="1:9" s="5" customFormat="1" ht="62.25" customHeight="1" hidden="1">
      <c r="A128" s="85"/>
      <c r="B128" s="78"/>
      <c r="C128" s="78"/>
      <c r="D128" s="78"/>
      <c r="E128" s="78"/>
      <c r="F128" s="78"/>
      <c r="G128" s="78"/>
      <c r="H128" s="78"/>
      <c r="I128" s="86"/>
    </row>
    <row r="129" spans="1:9" s="30" customFormat="1" ht="18.75" hidden="1">
      <c r="A129" s="70"/>
      <c r="B129" s="50"/>
      <c r="C129" s="50"/>
      <c r="D129" s="50"/>
      <c r="E129" s="50"/>
      <c r="F129" s="50"/>
      <c r="G129" s="50"/>
      <c r="H129" s="50"/>
      <c r="I129" s="71"/>
    </row>
    <row r="130" spans="1:9" s="5" customFormat="1" ht="23.25" customHeight="1" hidden="1">
      <c r="A130" s="55" t="s">
        <v>80</v>
      </c>
      <c r="B130" s="4" t="s">
        <v>7</v>
      </c>
      <c r="C130" s="7" t="s">
        <v>12</v>
      </c>
      <c r="D130" s="7" t="s">
        <v>190</v>
      </c>
      <c r="E130" s="7"/>
      <c r="F130" s="39">
        <f>F131</f>
        <v>0</v>
      </c>
      <c r="G130" s="39">
        <f>G131</f>
        <v>0</v>
      </c>
      <c r="H130" s="39">
        <f>H131</f>
        <v>0</v>
      </c>
      <c r="I130" s="59">
        <f>I131</f>
        <v>0</v>
      </c>
    </row>
    <row r="131" spans="1:9" s="30" customFormat="1" ht="18.75" hidden="1">
      <c r="A131" s="57" t="s">
        <v>123</v>
      </c>
      <c r="B131" s="28" t="s">
        <v>7</v>
      </c>
      <c r="C131" s="29" t="s">
        <v>12</v>
      </c>
      <c r="D131" s="29" t="s">
        <v>190</v>
      </c>
      <c r="E131" s="29" t="s">
        <v>26</v>
      </c>
      <c r="F131" s="35">
        <f>SUM(G131:I131)</f>
        <v>0</v>
      </c>
      <c r="G131" s="36"/>
      <c r="H131" s="36"/>
      <c r="I131" s="58"/>
    </row>
    <row r="132" spans="1:9" s="15" customFormat="1" ht="39.75" customHeight="1">
      <c r="A132" s="53" t="s">
        <v>38</v>
      </c>
      <c r="B132" s="13" t="s">
        <v>7</v>
      </c>
      <c r="C132" s="14" t="s">
        <v>11</v>
      </c>
      <c r="D132" s="14"/>
      <c r="E132" s="14"/>
      <c r="F132" s="43">
        <f>SUM(F133,F136,F138,F147,F150)</f>
        <v>42293.3</v>
      </c>
      <c r="G132" s="43">
        <f>SUM(G133,G136,G138,G147,G150)</f>
        <v>42293.3</v>
      </c>
      <c r="H132" s="43">
        <f>SUM(H133,H136,H138,H147,H150)</f>
        <v>0</v>
      </c>
      <c r="I132" s="54">
        <f>SUM(I133,I136,I138,I147,I150)</f>
        <v>0</v>
      </c>
    </row>
    <row r="133" spans="1:9" s="15" customFormat="1" ht="59.25" customHeight="1">
      <c r="A133" s="53" t="s">
        <v>143</v>
      </c>
      <c r="B133" s="13" t="s">
        <v>7</v>
      </c>
      <c r="C133" s="14" t="s">
        <v>11</v>
      </c>
      <c r="D133" s="14" t="s">
        <v>165</v>
      </c>
      <c r="E133" s="14"/>
      <c r="F133" s="43">
        <f aca="true" t="shared" si="15" ref="F133:I134">F134</f>
        <v>7401.400000000001</v>
      </c>
      <c r="G133" s="43">
        <f t="shared" si="15"/>
        <v>7401.400000000001</v>
      </c>
      <c r="H133" s="43">
        <f t="shared" si="15"/>
        <v>0</v>
      </c>
      <c r="I133" s="54">
        <f t="shared" si="15"/>
        <v>0</v>
      </c>
    </row>
    <row r="134" spans="1:9" s="5" customFormat="1" ht="18" customHeight="1">
      <c r="A134" s="55" t="s">
        <v>59</v>
      </c>
      <c r="B134" s="4" t="s">
        <v>7</v>
      </c>
      <c r="C134" s="7" t="s">
        <v>11</v>
      </c>
      <c r="D134" s="7" t="s">
        <v>167</v>
      </c>
      <c r="E134" s="7"/>
      <c r="F134" s="39">
        <f t="shared" si="15"/>
        <v>7401.400000000001</v>
      </c>
      <c r="G134" s="39">
        <f t="shared" si="15"/>
        <v>7401.400000000001</v>
      </c>
      <c r="H134" s="39">
        <f t="shared" si="15"/>
        <v>0</v>
      </c>
      <c r="I134" s="59">
        <f t="shared" si="15"/>
        <v>0</v>
      </c>
    </row>
    <row r="135" spans="1:9" s="30" customFormat="1" ht="37.5">
      <c r="A135" s="57" t="s">
        <v>124</v>
      </c>
      <c r="B135" s="28" t="s">
        <v>7</v>
      </c>
      <c r="C135" s="29" t="s">
        <v>11</v>
      </c>
      <c r="D135" s="29" t="s">
        <v>167</v>
      </c>
      <c r="E135" s="29" t="s">
        <v>20</v>
      </c>
      <c r="F135" s="35">
        <f>SUM(G135:I135)</f>
        <v>7401.400000000001</v>
      </c>
      <c r="G135" s="36">
        <f>6792.1+386.7+222.6</f>
        <v>7401.400000000001</v>
      </c>
      <c r="H135" s="36"/>
      <c r="I135" s="58"/>
    </row>
    <row r="136" spans="1:9" s="15" customFormat="1" ht="37.5">
      <c r="A136" s="53" t="s">
        <v>81</v>
      </c>
      <c r="B136" s="13" t="s">
        <v>7</v>
      </c>
      <c r="C136" s="14" t="s">
        <v>11</v>
      </c>
      <c r="D136" s="14" t="s">
        <v>191</v>
      </c>
      <c r="E136" s="14"/>
      <c r="F136" s="43">
        <f>F137</f>
        <v>1400</v>
      </c>
      <c r="G136" s="43">
        <f>G137</f>
        <v>1400</v>
      </c>
      <c r="H136" s="43">
        <f>H137</f>
        <v>0</v>
      </c>
      <c r="I136" s="54">
        <f>I137</f>
        <v>0</v>
      </c>
    </row>
    <row r="137" spans="1:9" s="30" customFormat="1" ht="37.5">
      <c r="A137" s="57" t="s">
        <v>124</v>
      </c>
      <c r="B137" s="28" t="s">
        <v>7</v>
      </c>
      <c r="C137" s="29" t="s">
        <v>11</v>
      </c>
      <c r="D137" s="29" t="s">
        <v>191</v>
      </c>
      <c r="E137" s="29" t="s">
        <v>20</v>
      </c>
      <c r="F137" s="35">
        <f>SUM(G137:I137)</f>
        <v>1400</v>
      </c>
      <c r="G137" s="36">
        <f>400+1000</f>
        <v>1400</v>
      </c>
      <c r="H137" s="36"/>
      <c r="I137" s="58"/>
    </row>
    <row r="138" spans="1:9" s="15" customFormat="1" ht="37.5">
      <c r="A138" s="53" t="s">
        <v>156</v>
      </c>
      <c r="B138" s="13" t="s">
        <v>7</v>
      </c>
      <c r="C138" s="14" t="s">
        <v>11</v>
      </c>
      <c r="D138" s="14" t="s">
        <v>192</v>
      </c>
      <c r="E138" s="14"/>
      <c r="F138" s="43">
        <f>F145+F141+F139+F143</f>
        <v>32781.3</v>
      </c>
      <c r="G138" s="43">
        <f>G145+G141+G139+G143</f>
        <v>32781.3</v>
      </c>
      <c r="H138" s="43">
        <f>H145+H141+H139+H143</f>
        <v>0</v>
      </c>
      <c r="I138" s="54">
        <f>I145+I141+I139+I143</f>
        <v>0</v>
      </c>
    </row>
    <row r="139" spans="1:9" s="15" customFormat="1" ht="24.75" customHeight="1">
      <c r="A139" s="60" t="s">
        <v>462</v>
      </c>
      <c r="B139" s="4" t="s">
        <v>7</v>
      </c>
      <c r="C139" s="7" t="s">
        <v>11</v>
      </c>
      <c r="D139" s="7" t="s">
        <v>378</v>
      </c>
      <c r="E139" s="7"/>
      <c r="F139" s="39">
        <f>F140</f>
        <v>11600</v>
      </c>
      <c r="G139" s="39">
        <f>G140</f>
        <v>11600</v>
      </c>
      <c r="H139" s="39">
        <f>H140</f>
        <v>0</v>
      </c>
      <c r="I139" s="59">
        <f>I140</f>
        <v>0</v>
      </c>
    </row>
    <row r="140" spans="1:9" s="15" customFormat="1" ht="37.5" customHeight="1">
      <c r="A140" s="57" t="s">
        <v>124</v>
      </c>
      <c r="B140" s="28" t="s">
        <v>7</v>
      </c>
      <c r="C140" s="29" t="s">
        <v>11</v>
      </c>
      <c r="D140" s="29" t="s">
        <v>463</v>
      </c>
      <c r="E140" s="29" t="s">
        <v>20</v>
      </c>
      <c r="F140" s="35">
        <f>SUM(G140:I140)</f>
        <v>11600</v>
      </c>
      <c r="G140" s="42">
        <f>8000+3600</f>
        <v>11600</v>
      </c>
      <c r="H140" s="43"/>
      <c r="I140" s="54"/>
    </row>
    <row r="141" spans="1:9" s="15" customFormat="1" ht="31.5" customHeight="1">
      <c r="A141" s="60" t="s">
        <v>379</v>
      </c>
      <c r="B141" s="4" t="s">
        <v>7</v>
      </c>
      <c r="C141" s="7" t="s">
        <v>11</v>
      </c>
      <c r="D141" s="7" t="s">
        <v>378</v>
      </c>
      <c r="E141" s="7"/>
      <c r="F141" s="39">
        <f>F142</f>
        <v>14600.7</v>
      </c>
      <c r="G141" s="39">
        <f>G142</f>
        <v>14600.7</v>
      </c>
      <c r="H141" s="39">
        <f>H142</f>
        <v>0</v>
      </c>
      <c r="I141" s="59">
        <f>I142</f>
        <v>0</v>
      </c>
    </row>
    <row r="142" spans="1:9" s="15" customFormat="1" ht="37.5" customHeight="1">
      <c r="A142" s="57" t="s">
        <v>124</v>
      </c>
      <c r="B142" s="28" t="s">
        <v>7</v>
      </c>
      <c r="C142" s="29" t="s">
        <v>11</v>
      </c>
      <c r="D142" s="29" t="s">
        <v>464</v>
      </c>
      <c r="E142" s="29" t="s">
        <v>20</v>
      </c>
      <c r="F142" s="35">
        <f>SUM(G142:I142)</f>
        <v>14600.7</v>
      </c>
      <c r="G142" s="42">
        <f>13400.7+1200</f>
        <v>14600.7</v>
      </c>
      <c r="H142" s="43"/>
      <c r="I142" s="54"/>
    </row>
    <row r="143" spans="1:9" s="15" customFormat="1" ht="37.5" customHeight="1">
      <c r="A143" s="60" t="s">
        <v>465</v>
      </c>
      <c r="B143" s="4" t="s">
        <v>7</v>
      </c>
      <c r="C143" s="7" t="s">
        <v>11</v>
      </c>
      <c r="D143" s="7" t="s">
        <v>378</v>
      </c>
      <c r="E143" s="7"/>
      <c r="F143" s="39">
        <f>F144</f>
        <v>1400</v>
      </c>
      <c r="G143" s="39">
        <f>G144</f>
        <v>1400</v>
      </c>
      <c r="H143" s="39">
        <f>H144</f>
        <v>0</v>
      </c>
      <c r="I143" s="59">
        <f>I144</f>
        <v>0</v>
      </c>
    </row>
    <row r="144" spans="1:9" s="15" customFormat="1" ht="37.5" customHeight="1">
      <c r="A144" s="57" t="s">
        <v>124</v>
      </c>
      <c r="B144" s="28" t="s">
        <v>7</v>
      </c>
      <c r="C144" s="29" t="s">
        <v>11</v>
      </c>
      <c r="D144" s="29" t="s">
        <v>466</v>
      </c>
      <c r="E144" s="29" t="s">
        <v>20</v>
      </c>
      <c r="F144" s="35">
        <f>SUM(G144:I144)</f>
        <v>1400</v>
      </c>
      <c r="G144" s="42">
        <v>1400</v>
      </c>
      <c r="H144" s="43"/>
      <c r="I144" s="54"/>
    </row>
    <row r="145" spans="1:9" s="5" customFormat="1" ht="26.25" customHeight="1">
      <c r="A145" s="55" t="s">
        <v>139</v>
      </c>
      <c r="B145" s="4" t="s">
        <v>7</v>
      </c>
      <c r="C145" s="7" t="s">
        <v>11</v>
      </c>
      <c r="D145" s="7" t="s">
        <v>193</v>
      </c>
      <c r="E145" s="7"/>
      <c r="F145" s="39">
        <f>F146</f>
        <v>5180.6</v>
      </c>
      <c r="G145" s="39">
        <f>G146</f>
        <v>5180.6</v>
      </c>
      <c r="H145" s="39">
        <f>H146</f>
        <v>0</v>
      </c>
      <c r="I145" s="59">
        <f>I146</f>
        <v>0</v>
      </c>
    </row>
    <row r="146" spans="1:9" s="30" customFormat="1" ht="37.5">
      <c r="A146" s="57" t="s">
        <v>124</v>
      </c>
      <c r="B146" s="28" t="s">
        <v>7</v>
      </c>
      <c r="C146" s="29" t="s">
        <v>11</v>
      </c>
      <c r="D146" s="29" t="s">
        <v>193</v>
      </c>
      <c r="E146" s="29" t="s">
        <v>20</v>
      </c>
      <c r="F146" s="35">
        <f>SUM(G146:I146)</f>
        <v>5180.6</v>
      </c>
      <c r="G146" s="36">
        <f>3760+1420.6</f>
        <v>5180.6</v>
      </c>
      <c r="H146" s="36"/>
      <c r="I146" s="58"/>
    </row>
    <row r="147" spans="1:9" s="30" customFormat="1" ht="56.25">
      <c r="A147" s="53" t="s">
        <v>473</v>
      </c>
      <c r="B147" s="13" t="s">
        <v>7</v>
      </c>
      <c r="C147" s="14" t="s">
        <v>11</v>
      </c>
      <c r="D147" s="14" t="s">
        <v>474</v>
      </c>
      <c r="E147" s="14"/>
      <c r="F147" s="43">
        <f>SUM(F148,F130)</f>
        <v>129</v>
      </c>
      <c r="G147" s="43">
        <f>SUM(G148,G130)</f>
        <v>129</v>
      </c>
      <c r="H147" s="43">
        <f>SUM(H148,H130)</f>
        <v>0</v>
      </c>
      <c r="I147" s="54">
        <f>SUM(I148,I130)</f>
        <v>0</v>
      </c>
    </row>
    <row r="148" spans="1:9" s="30" customFormat="1" ht="56.25">
      <c r="A148" s="48" t="s">
        <v>475</v>
      </c>
      <c r="B148" s="4" t="s">
        <v>7</v>
      </c>
      <c r="C148" s="7" t="s">
        <v>11</v>
      </c>
      <c r="D148" s="49" t="s">
        <v>476</v>
      </c>
      <c r="E148" s="7"/>
      <c r="F148" s="42">
        <f>F149</f>
        <v>129</v>
      </c>
      <c r="G148" s="42">
        <f>G149</f>
        <v>129</v>
      </c>
      <c r="H148" s="42">
        <f>H149</f>
        <v>0</v>
      </c>
      <c r="I148" s="56">
        <f>I149</f>
        <v>0</v>
      </c>
    </row>
    <row r="149" spans="1:9" s="30" customFormat="1" ht="37.5">
      <c r="A149" s="57" t="s">
        <v>124</v>
      </c>
      <c r="B149" s="28" t="s">
        <v>7</v>
      </c>
      <c r="C149" s="29" t="s">
        <v>11</v>
      </c>
      <c r="D149" s="29" t="s">
        <v>476</v>
      </c>
      <c r="E149" s="29" t="s">
        <v>20</v>
      </c>
      <c r="F149" s="35">
        <f>SUM(G149:I149)</f>
        <v>129</v>
      </c>
      <c r="G149" s="36">
        <v>129</v>
      </c>
      <c r="H149" s="36"/>
      <c r="I149" s="58"/>
    </row>
    <row r="150" spans="1:9" s="15" customFormat="1" ht="37.5">
      <c r="A150" s="53" t="s">
        <v>304</v>
      </c>
      <c r="B150" s="13" t="s">
        <v>7</v>
      </c>
      <c r="C150" s="14" t="s">
        <v>11</v>
      </c>
      <c r="D150" s="14" t="s">
        <v>206</v>
      </c>
      <c r="E150" s="14"/>
      <c r="F150" s="43">
        <f aca="true" t="shared" si="16" ref="F150:I151">F151</f>
        <v>581.6</v>
      </c>
      <c r="G150" s="43">
        <f t="shared" si="16"/>
        <v>581.6</v>
      </c>
      <c r="H150" s="43">
        <f t="shared" si="16"/>
        <v>0</v>
      </c>
      <c r="I150" s="54">
        <f t="shared" si="16"/>
        <v>0</v>
      </c>
    </row>
    <row r="151" spans="1:9" s="30" customFormat="1" ht="56.25">
      <c r="A151" s="60" t="s">
        <v>377</v>
      </c>
      <c r="B151" s="28" t="s">
        <v>7</v>
      </c>
      <c r="C151" s="29" t="s">
        <v>11</v>
      </c>
      <c r="D151" s="29" t="s">
        <v>337</v>
      </c>
      <c r="E151" s="29"/>
      <c r="F151" s="39">
        <f t="shared" si="16"/>
        <v>581.6</v>
      </c>
      <c r="G151" s="39">
        <f t="shared" si="16"/>
        <v>581.6</v>
      </c>
      <c r="H151" s="39">
        <f t="shared" si="16"/>
        <v>0</v>
      </c>
      <c r="I151" s="59">
        <f t="shared" si="16"/>
        <v>0</v>
      </c>
    </row>
    <row r="152" spans="1:9" s="30" customFormat="1" ht="37.5">
      <c r="A152" s="57" t="s">
        <v>124</v>
      </c>
      <c r="B152" s="28" t="s">
        <v>7</v>
      </c>
      <c r="C152" s="29" t="s">
        <v>11</v>
      </c>
      <c r="D152" s="29" t="s">
        <v>337</v>
      </c>
      <c r="E152" s="29" t="s">
        <v>20</v>
      </c>
      <c r="F152" s="35">
        <f>SUM(G152:I152)</f>
        <v>581.6</v>
      </c>
      <c r="G152" s="36">
        <f>278.3+141.3+162</f>
        <v>581.6</v>
      </c>
      <c r="H152" s="36"/>
      <c r="I152" s="58"/>
    </row>
    <row r="153" spans="1:9" s="6" customFormat="1" ht="18.75">
      <c r="A153" s="51" t="s">
        <v>39</v>
      </c>
      <c r="B153" s="45"/>
      <c r="C153" s="46"/>
      <c r="D153" s="46"/>
      <c r="E153" s="46"/>
      <c r="F153" s="47">
        <f>SUM(F154,F185,F200,F226)</f>
        <v>464475.6</v>
      </c>
      <c r="G153" s="47">
        <f>SUM(G154,G185,G200,G226)</f>
        <v>464325.6</v>
      </c>
      <c r="H153" s="47">
        <f>SUM(H154,H185,H200,H226)</f>
        <v>150</v>
      </c>
      <c r="I153" s="52">
        <f>SUM(I154,I185,I200,I226)</f>
        <v>0</v>
      </c>
    </row>
    <row r="154" spans="1:9" s="15" customFormat="1" ht="18.75">
      <c r="A154" s="53" t="s">
        <v>40</v>
      </c>
      <c r="B154" s="13" t="s">
        <v>8</v>
      </c>
      <c r="C154" s="14" t="s">
        <v>3</v>
      </c>
      <c r="D154" s="14"/>
      <c r="E154" s="14"/>
      <c r="F154" s="44">
        <f>F155+F158+F167+F178</f>
        <v>312439.5</v>
      </c>
      <c r="G154" s="44">
        <f>G155+G158+G167+G178</f>
        <v>312439.5</v>
      </c>
      <c r="H154" s="44">
        <f>H155+H158+H167+H178</f>
        <v>0</v>
      </c>
      <c r="I154" s="63">
        <f>I155+I158+I167+I178</f>
        <v>0</v>
      </c>
    </row>
    <row r="155" spans="1:9" s="15" customFormat="1" ht="79.5" customHeight="1" hidden="1">
      <c r="A155" s="65" t="s">
        <v>388</v>
      </c>
      <c r="B155" s="13" t="s">
        <v>8</v>
      </c>
      <c r="C155" s="14" t="s">
        <v>3</v>
      </c>
      <c r="D155" s="14" t="s">
        <v>389</v>
      </c>
      <c r="E155" s="14"/>
      <c r="F155" s="44">
        <f>F156</f>
        <v>0</v>
      </c>
      <c r="G155" s="44">
        <f aca="true" t="shared" si="17" ref="G155:I156">G156</f>
        <v>0</v>
      </c>
      <c r="H155" s="44">
        <f t="shared" si="17"/>
        <v>0</v>
      </c>
      <c r="I155" s="63">
        <f t="shared" si="17"/>
        <v>0</v>
      </c>
    </row>
    <row r="156" spans="1:9" s="15" customFormat="1" ht="56.25" hidden="1">
      <c r="A156" s="60" t="s">
        <v>386</v>
      </c>
      <c r="B156" s="13" t="s">
        <v>8</v>
      </c>
      <c r="C156" s="14" t="s">
        <v>3</v>
      </c>
      <c r="D156" s="14" t="s">
        <v>387</v>
      </c>
      <c r="E156" s="14"/>
      <c r="F156" s="44">
        <f>F157</f>
        <v>0</v>
      </c>
      <c r="G156" s="44">
        <f t="shared" si="17"/>
        <v>0</v>
      </c>
      <c r="H156" s="44">
        <f t="shared" si="17"/>
        <v>0</v>
      </c>
      <c r="I156" s="63">
        <f t="shared" si="17"/>
        <v>0</v>
      </c>
    </row>
    <row r="157" spans="1:9" s="15" customFormat="1" ht="18.75" hidden="1">
      <c r="A157" s="62" t="s">
        <v>119</v>
      </c>
      <c r="B157" s="28" t="s">
        <v>8</v>
      </c>
      <c r="C157" s="29" t="s">
        <v>3</v>
      </c>
      <c r="D157" s="29" t="s">
        <v>387</v>
      </c>
      <c r="E157" s="29" t="s">
        <v>24</v>
      </c>
      <c r="F157" s="35">
        <f>SUM(G157:I157)</f>
        <v>0</v>
      </c>
      <c r="G157" s="35"/>
      <c r="H157" s="35"/>
      <c r="I157" s="61"/>
    </row>
    <row r="158" spans="1:9" s="15" customFormat="1" ht="28.5" customHeight="1">
      <c r="A158" s="53" t="s">
        <v>450</v>
      </c>
      <c r="B158" s="13" t="s">
        <v>8</v>
      </c>
      <c r="C158" s="14" t="s">
        <v>3</v>
      </c>
      <c r="D158" s="14" t="s">
        <v>451</v>
      </c>
      <c r="E158" s="14"/>
      <c r="F158" s="43">
        <f>F159+F161+F163+F165</f>
        <v>264571.3</v>
      </c>
      <c r="G158" s="43">
        <f>G159+G161+G163+G165</f>
        <v>264571.3</v>
      </c>
      <c r="H158" s="43">
        <f>H159+H161+H163+H165</f>
        <v>0</v>
      </c>
      <c r="I158" s="54">
        <f>I159+I161+I163+I165</f>
        <v>0</v>
      </c>
    </row>
    <row r="159" spans="1:9" s="15" customFormat="1" ht="93.75">
      <c r="A159" s="53" t="s">
        <v>452</v>
      </c>
      <c r="B159" s="13" t="s">
        <v>8</v>
      </c>
      <c r="C159" s="14" t="s">
        <v>3</v>
      </c>
      <c r="D159" s="14" t="s">
        <v>454</v>
      </c>
      <c r="E159" s="14"/>
      <c r="F159" s="43">
        <f>F160</f>
        <v>139003.3</v>
      </c>
      <c r="G159" s="43">
        <f>G160</f>
        <v>139003.3</v>
      </c>
      <c r="H159" s="43">
        <f>H160</f>
        <v>0</v>
      </c>
      <c r="I159" s="54">
        <f>I160</f>
        <v>0</v>
      </c>
    </row>
    <row r="160" spans="1:9" s="30" customFormat="1" ht="18.75">
      <c r="A160" s="57" t="s">
        <v>282</v>
      </c>
      <c r="B160" s="28" t="s">
        <v>8</v>
      </c>
      <c r="C160" s="29" t="s">
        <v>3</v>
      </c>
      <c r="D160" s="29" t="s">
        <v>454</v>
      </c>
      <c r="E160" s="29" t="s">
        <v>26</v>
      </c>
      <c r="F160" s="35">
        <f>SUM(G160:I160)</f>
        <v>139003.3</v>
      </c>
      <c r="G160" s="36">
        <v>139003.3</v>
      </c>
      <c r="H160" s="36"/>
      <c r="I160" s="58"/>
    </row>
    <row r="161" spans="1:9" s="15" customFormat="1" ht="56.25">
      <c r="A161" s="53" t="s">
        <v>453</v>
      </c>
      <c r="B161" s="13" t="s">
        <v>8</v>
      </c>
      <c r="C161" s="14" t="s">
        <v>3</v>
      </c>
      <c r="D161" s="14" t="s">
        <v>455</v>
      </c>
      <c r="E161" s="14"/>
      <c r="F161" s="43">
        <f>F162</f>
        <v>10046</v>
      </c>
      <c r="G161" s="43">
        <f>G162</f>
        <v>10046</v>
      </c>
      <c r="H161" s="43">
        <f>H162</f>
        <v>0</v>
      </c>
      <c r="I161" s="54">
        <f>I162</f>
        <v>0</v>
      </c>
    </row>
    <row r="162" spans="1:9" s="30" customFormat="1" ht="18.75">
      <c r="A162" s="57" t="s">
        <v>282</v>
      </c>
      <c r="B162" s="28" t="s">
        <v>8</v>
      </c>
      <c r="C162" s="29" t="s">
        <v>3</v>
      </c>
      <c r="D162" s="29" t="s">
        <v>455</v>
      </c>
      <c r="E162" s="29" t="s">
        <v>26</v>
      </c>
      <c r="F162" s="35">
        <f>SUM(G162:I162)</f>
        <v>10046</v>
      </c>
      <c r="G162" s="36">
        <v>10046</v>
      </c>
      <c r="H162" s="36"/>
      <c r="I162" s="58"/>
    </row>
    <row r="163" spans="1:9" s="15" customFormat="1" ht="56.25" customHeight="1">
      <c r="A163" s="53" t="s">
        <v>459</v>
      </c>
      <c r="B163" s="13" t="s">
        <v>8</v>
      </c>
      <c r="C163" s="14" t="s">
        <v>3</v>
      </c>
      <c r="D163" s="14" t="s">
        <v>460</v>
      </c>
      <c r="E163" s="14"/>
      <c r="F163" s="43">
        <f>F164</f>
        <v>107736</v>
      </c>
      <c r="G163" s="43">
        <f>G164</f>
        <v>107736</v>
      </c>
      <c r="H163" s="43">
        <f>H164</f>
        <v>0</v>
      </c>
      <c r="I163" s="54">
        <f>I164</f>
        <v>0</v>
      </c>
    </row>
    <row r="164" spans="1:9" s="11" customFormat="1" ht="18.75">
      <c r="A164" s="57" t="s">
        <v>282</v>
      </c>
      <c r="B164" s="28" t="s">
        <v>8</v>
      </c>
      <c r="C164" s="29" t="s">
        <v>3</v>
      </c>
      <c r="D164" s="29" t="s">
        <v>460</v>
      </c>
      <c r="E164" s="29" t="s">
        <v>26</v>
      </c>
      <c r="F164" s="35">
        <f>SUM(G164:I164)</f>
        <v>107736</v>
      </c>
      <c r="G164" s="36">
        <v>107736</v>
      </c>
      <c r="H164" s="36"/>
      <c r="I164" s="58"/>
    </row>
    <row r="165" spans="1:9" s="11" customFormat="1" ht="56.25">
      <c r="A165" s="53" t="s">
        <v>461</v>
      </c>
      <c r="B165" s="13" t="s">
        <v>8</v>
      </c>
      <c r="C165" s="14" t="s">
        <v>3</v>
      </c>
      <c r="D165" s="14" t="s">
        <v>387</v>
      </c>
      <c r="E165" s="14"/>
      <c r="F165" s="43">
        <f>F166</f>
        <v>7786</v>
      </c>
      <c r="G165" s="43">
        <f>G166</f>
        <v>7786</v>
      </c>
      <c r="H165" s="43">
        <f>H166</f>
        <v>0</v>
      </c>
      <c r="I165" s="54">
        <f>I166</f>
        <v>0</v>
      </c>
    </row>
    <row r="166" spans="1:9" s="30" customFormat="1" ht="21" customHeight="1">
      <c r="A166" s="57" t="s">
        <v>282</v>
      </c>
      <c r="B166" s="28" t="s">
        <v>8</v>
      </c>
      <c r="C166" s="29" t="s">
        <v>3</v>
      </c>
      <c r="D166" s="29" t="s">
        <v>387</v>
      </c>
      <c r="E166" s="29" t="s">
        <v>26</v>
      </c>
      <c r="F166" s="35">
        <f>SUM(G166:I166)</f>
        <v>7786</v>
      </c>
      <c r="G166" s="36">
        <v>7786</v>
      </c>
      <c r="H166" s="36"/>
      <c r="I166" s="58"/>
    </row>
    <row r="167" spans="1:9" s="15" customFormat="1" ht="18.75">
      <c r="A167" s="65" t="s">
        <v>82</v>
      </c>
      <c r="B167" s="13" t="s">
        <v>8</v>
      </c>
      <c r="C167" s="14" t="s">
        <v>3</v>
      </c>
      <c r="D167" s="14" t="s">
        <v>197</v>
      </c>
      <c r="E167" s="14"/>
      <c r="F167" s="43">
        <f>SUM(F168,F170,F173,F175)</f>
        <v>28307.3</v>
      </c>
      <c r="G167" s="43">
        <f>SUM(G168,G170,G173,G175)</f>
        <v>28307.3</v>
      </c>
      <c r="H167" s="43">
        <f>SUM(H168,H170,H173,H175)</f>
        <v>0</v>
      </c>
      <c r="I167" s="54">
        <f>SUM(I168,I170,I173,I175)</f>
        <v>0</v>
      </c>
    </row>
    <row r="168" spans="1:9" s="5" customFormat="1" ht="58.5" customHeight="1" hidden="1">
      <c r="A168" s="66" t="s">
        <v>83</v>
      </c>
      <c r="B168" s="4" t="s">
        <v>8</v>
      </c>
      <c r="C168" s="7" t="s">
        <v>3</v>
      </c>
      <c r="D168" s="7" t="s">
        <v>198</v>
      </c>
      <c r="E168" s="7"/>
      <c r="F168" s="39">
        <f>F169</f>
        <v>0</v>
      </c>
      <c r="G168" s="39">
        <f>G169</f>
        <v>0</v>
      </c>
      <c r="H168" s="39">
        <f>H169</f>
        <v>0</v>
      </c>
      <c r="I168" s="59">
        <f>I169</f>
        <v>0</v>
      </c>
    </row>
    <row r="169" spans="1:9" s="30" customFormat="1" ht="18.75" hidden="1">
      <c r="A169" s="57" t="s">
        <v>123</v>
      </c>
      <c r="B169" s="28" t="s">
        <v>8</v>
      </c>
      <c r="C169" s="29" t="s">
        <v>3</v>
      </c>
      <c r="D169" s="29" t="s">
        <v>198</v>
      </c>
      <c r="E169" s="29" t="s">
        <v>26</v>
      </c>
      <c r="F169" s="35">
        <f>SUM(G169:I169)</f>
        <v>0</v>
      </c>
      <c r="G169" s="36"/>
      <c r="H169" s="36"/>
      <c r="I169" s="58"/>
    </row>
    <row r="170" spans="1:9" s="5" customFormat="1" ht="56.25">
      <c r="A170" s="55" t="s">
        <v>84</v>
      </c>
      <c r="B170" s="4" t="s">
        <v>8</v>
      </c>
      <c r="C170" s="7" t="s">
        <v>3</v>
      </c>
      <c r="D170" s="7" t="s">
        <v>199</v>
      </c>
      <c r="E170" s="7"/>
      <c r="F170" s="39">
        <f>SUM(F171:F172)</f>
        <v>21123</v>
      </c>
      <c r="G170" s="39">
        <f>SUM(G171:G172)</f>
        <v>21123</v>
      </c>
      <c r="H170" s="39">
        <f>SUM(H171:H172)</f>
        <v>0</v>
      </c>
      <c r="I170" s="59">
        <f>SUM(I171:I172)</f>
        <v>0</v>
      </c>
    </row>
    <row r="171" spans="1:9" s="30" customFormat="1" ht="18.75" hidden="1">
      <c r="A171" s="62" t="s">
        <v>123</v>
      </c>
      <c r="B171" s="28" t="s">
        <v>8</v>
      </c>
      <c r="C171" s="29" t="s">
        <v>3</v>
      </c>
      <c r="D171" s="29" t="s">
        <v>199</v>
      </c>
      <c r="E171" s="29" t="s">
        <v>20</v>
      </c>
      <c r="F171" s="35">
        <f>SUM(G171:I171)</f>
        <v>0</v>
      </c>
      <c r="G171" s="36"/>
      <c r="H171" s="36"/>
      <c r="I171" s="58"/>
    </row>
    <row r="172" spans="1:9" s="30" customFormat="1" ht="37.5">
      <c r="A172" s="62" t="s">
        <v>124</v>
      </c>
      <c r="B172" s="28" t="s">
        <v>8</v>
      </c>
      <c r="C172" s="29" t="s">
        <v>3</v>
      </c>
      <c r="D172" s="29" t="s">
        <v>199</v>
      </c>
      <c r="E172" s="29" t="s">
        <v>20</v>
      </c>
      <c r="F172" s="35">
        <f>SUM(G172:I172)</f>
        <v>21123</v>
      </c>
      <c r="G172" s="36">
        <f>20123+1000</f>
        <v>21123</v>
      </c>
      <c r="H172" s="36"/>
      <c r="I172" s="58"/>
    </row>
    <row r="173" spans="1:9" s="5" customFormat="1" ht="56.25" hidden="1">
      <c r="A173" s="55" t="s">
        <v>336</v>
      </c>
      <c r="B173" s="4" t="s">
        <v>8</v>
      </c>
      <c r="C173" s="7" t="s">
        <v>3</v>
      </c>
      <c r="D173" s="7" t="s">
        <v>351</v>
      </c>
      <c r="E173" s="7"/>
      <c r="F173" s="39">
        <f>F174</f>
        <v>0</v>
      </c>
      <c r="G173" s="39">
        <f>G174</f>
        <v>0</v>
      </c>
      <c r="H173" s="39">
        <f>H174</f>
        <v>0</v>
      </c>
      <c r="I173" s="59">
        <f>I174</f>
        <v>0</v>
      </c>
    </row>
    <row r="174" spans="1:9" s="30" customFormat="1" ht="37.5" hidden="1">
      <c r="A174" s="62" t="s">
        <v>124</v>
      </c>
      <c r="B174" s="40" t="s">
        <v>8</v>
      </c>
      <c r="C174" s="37" t="s">
        <v>3</v>
      </c>
      <c r="D174" s="37" t="s">
        <v>351</v>
      </c>
      <c r="E174" s="37" t="s">
        <v>20</v>
      </c>
      <c r="F174" s="35">
        <f>SUM(G174:I174)</f>
        <v>0</v>
      </c>
      <c r="G174" s="36"/>
      <c r="H174" s="36"/>
      <c r="I174" s="58"/>
    </row>
    <row r="175" spans="1:9" s="5" customFormat="1" ht="18.75">
      <c r="A175" s="66" t="s">
        <v>85</v>
      </c>
      <c r="B175" s="4" t="s">
        <v>8</v>
      </c>
      <c r="C175" s="7" t="s">
        <v>3</v>
      </c>
      <c r="D175" s="7" t="s">
        <v>200</v>
      </c>
      <c r="E175" s="7"/>
      <c r="F175" s="39">
        <f>SUM(F176:F177)</f>
        <v>7184.3</v>
      </c>
      <c r="G175" s="39">
        <f>SUM(G176:G177)</f>
        <v>7184.3</v>
      </c>
      <c r="H175" s="39">
        <f>SUM(H176:H177)</f>
        <v>0</v>
      </c>
      <c r="I175" s="59">
        <f>SUM(I176:I177)</f>
        <v>0</v>
      </c>
    </row>
    <row r="176" spans="1:9" s="30" customFormat="1" ht="18.75" hidden="1">
      <c r="A176" s="62" t="s">
        <v>123</v>
      </c>
      <c r="B176" s="28" t="s">
        <v>8</v>
      </c>
      <c r="C176" s="29" t="s">
        <v>3</v>
      </c>
      <c r="D176" s="29" t="s">
        <v>200</v>
      </c>
      <c r="E176" s="29" t="s">
        <v>26</v>
      </c>
      <c r="F176" s="35">
        <f>SUM(G176:I176)</f>
        <v>0</v>
      </c>
      <c r="G176" s="36"/>
      <c r="H176" s="36"/>
      <c r="I176" s="58"/>
    </row>
    <row r="177" spans="1:9" s="30" customFormat="1" ht="37.5">
      <c r="A177" s="62" t="s">
        <v>124</v>
      </c>
      <c r="B177" s="28" t="s">
        <v>8</v>
      </c>
      <c r="C177" s="29" t="s">
        <v>3</v>
      </c>
      <c r="D177" s="29" t="s">
        <v>200</v>
      </c>
      <c r="E177" s="29" t="s">
        <v>20</v>
      </c>
      <c r="F177" s="35">
        <f>SUM(G177:I177)</f>
        <v>7184.3</v>
      </c>
      <c r="G177" s="36">
        <f>2260+4320+112.1+460+50+72.2-90</f>
        <v>7184.3</v>
      </c>
      <c r="H177" s="36"/>
      <c r="I177" s="58"/>
    </row>
    <row r="178" spans="1:9" s="33" customFormat="1" ht="22.5" customHeight="1">
      <c r="A178" s="53" t="s">
        <v>304</v>
      </c>
      <c r="B178" s="13" t="s">
        <v>8</v>
      </c>
      <c r="C178" s="14" t="s">
        <v>3</v>
      </c>
      <c r="D178" s="14" t="s">
        <v>206</v>
      </c>
      <c r="E178" s="14"/>
      <c r="F178" s="43">
        <f>SUM(F179,F181,F183)</f>
        <v>19560.9</v>
      </c>
      <c r="G178" s="43">
        <f>SUM(G179,G181,G183)</f>
        <v>19560.9</v>
      </c>
      <c r="H178" s="43">
        <f>SUM(H179,H181,H183)</f>
        <v>0</v>
      </c>
      <c r="I178" s="54">
        <f>SUM(I179,I181,I183)</f>
        <v>0</v>
      </c>
    </row>
    <row r="179" spans="1:9" s="12" customFormat="1" ht="44.25" customHeight="1">
      <c r="A179" s="67" t="s">
        <v>424</v>
      </c>
      <c r="B179" s="9" t="s">
        <v>8</v>
      </c>
      <c r="C179" s="10" t="s">
        <v>3</v>
      </c>
      <c r="D179" s="10" t="s">
        <v>374</v>
      </c>
      <c r="E179" s="10"/>
      <c r="F179" s="39">
        <f aca="true" t="shared" si="18" ref="F179:I183">F180</f>
        <v>3700</v>
      </c>
      <c r="G179" s="39">
        <f t="shared" si="18"/>
        <v>3700</v>
      </c>
      <c r="H179" s="39">
        <f t="shared" si="18"/>
        <v>0</v>
      </c>
      <c r="I179" s="59">
        <f t="shared" si="18"/>
        <v>0</v>
      </c>
    </row>
    <row r="180" spans="1:9" s="34" customFormat="1" ht="37.5">
      <c r="A180" s="62" t="s">
        <v>124</v>
      </c>
      <c r="B180" s="28" t="s">
        <v>8</v>
      </c>
      <c r="C180" s="29" t="s">
        <v>3</v>
      </c>
      <c r="D180" s="29" t="s">
        <v>374</v>
      </c>
      <c r="E180" s="29" t="s">
        <v>20</v>
      </c>
      <c r="F180" s="35">
        <f>SUM(G180:I180)</f>
        <v>3700</v>
      </c>
      <c r="G180" s="36">
        <f>4000-300</f>
        <v>3700</v>
      </c>
      <c r="H180" s="36"/>
      <c r="I180" s="58"/>
    </row>
    <row r="181" spans="1:9" s="12" customFormat="1" ht="56.25">
      <c r="A181" s="67" t="s">
        <v>425</v>
      </c>
      <c r="B181" s="9" t="s">
        <v>8</v>
      </c>
      <c r="C181" s="10" t="s">
        <v>3</v>
      </c>
      <c r="D181" s="10" t="s">
        <v>426</v>
      </c>
      <c r="E181" s="10"/>
      <c r="F181" s="39">
        <f t="shared" si="18"/>
        <v>14000</v>
      </c>
      <c r="G181" s="39">
        <f t="shared" si="18"/>
        <v>14000</v>
      </c>
      <c r="H181" s="39">
        <f t="shared" si="18"/>
        <v>0</v>
      </c>
      <c r="I181" s="59">
        <f t="shared" si="18"/>
        <v>0</v>
      </c>
    </row>
    <row r="182" spans="1:9" s="34" customFormat="1" ht="18.75">
      <c r="A182" s="57" t="s">
        <v>119</v>
      </c>
      <c r="B182" s="28" t="s">
        <v>8</v>
      </c>
      <c r="C182" s="29" t="s">
        <v>3</v>
      </c>
      <c r="D182" s="29" t="s">
        <v>426</v>
      </c>
      <c r="E182" s="29" t="s">
        <v>24</v>
      </c>
      <c r="F182" s="35">
        <f>SUM(G182:I182)</f>
        <v>14000</v>
      </c>
      <c r="G182" s="36">
        <f>24000-10000</f>
        <v>14000</v>
      </c>
      <c r="H182" s="36"/>
      <c r="I182" s="58"/>
    </row>
    <row r="183" spans="1:9" s="34" customFormat="1" ht="37.5">
      <c r="A183" s="67" t="s">
        <v>437</v>
      </c>
      <c r="B183" s="9" t="s">
        <v>8</v>
      </c>
      <c r="C183" s="10" t="s">
        <v>3</v>
      </c>
      <c r="D183" s="10" t="s">
        <v>438</v>
      </c>
      <c r="E183" s="10"/>
      <c r="F183" s="39">
        <f t="shared" si="18"/>
        <v>1860.9</v>
      </c>
      <c r="G183" s="39">
        <f t="shared" si="18"/>
        <v>1860.9</v>
      </c>
      <c r="H183" s="39">
        <f t="shared" si="18"/>
        <v>0</v>
      </c>
      <c r="I183" s="59">
        <f t="shared" si="18"/>
        <v>0</v>
      </c>
    </row>
    <row r="184" spans="1:9" s="34" customFormat="1" ht="18.75">
      <c r="A184" s="57" t="s">
        <v>119</v>
      </c>
      <c r="B184" s="28" t="s">
        <v>8</v>
      </c>
      <c r="C184" s="29" t="s">
        <v>3</v>
      </c>
      <c r="D184" s="29" t="s">
        <v>438</v>
      </c>
      <c r="E184" s="29" t="s">
        <v>24</v>
      </c>
      <c r="F184" s="35">
        <f>SUM(G184:I184)</f>
        <v>1860.9</v>
      </c>
      <c r="G184" s="36">
        <v>1860.9</v>
      </c>
      <c r="H184" s="36"/>
      <c r="I184" s="58"/>
    </row>
    <row r="185" spans="1:9" s="15" customFormat="1" ht="18.75">
      <c r="A185" s="65" t="s">
        <v>41</v>
      </c>
      <c r="B185" s="13" t="s">
        <v>8</v>
      </c>
      <c r="C185" s="14" t="s">
        <v>4</v>
      </c>
      <c r="D185" s="14"/>
      <c r="E185" s="14"/>
      <c r="F185" s="43">
        <f>SUM(F186,F191,F197)</f>
        <v>2588.3</v>
      </c>
      <c r="G185" s="43">
        <f>SUM(G186,G191,G197)</f>
        <v>2588.3</v>
      </c>
      <c r="H185" s="43">
        <f>SUM(H186,H191,H197)</f>
        <v>0</v>
      </c>
      <c r="I185" s="54">
        <f>SUM(I186,I191,I197)</f>
        <v>0</v>
      </c>
    </row>
    <row r="186" spans="1:9" s="15" customFormat="1" ht="40.5" customHeight="1">
      <c r="A186" s="53" t="s">
        <v>71</v>
      </c>
      <c r="B186" s="13" t="s">
        <v>8</v>
      </c>
      <c r="C186" s="14" t="s">
        <v>4</v>
      </c>
      <c r="D186" s="14" t="s">
        <v>194</v>
      </c>
      <c r="E186" s="14"/>
      <c r="F186" s="43">
        <f>F187+F189</f>
        <v>2588.3</v>
      </c>
      <c r="G186" s="43">
        <f>G187+G189</f>
        <v>2588.3</v>
      </c>
      <c r="H186" s="43">
        <f>H187+H189</f>
        <v>0</v>
      </c>
      <c r="I186" s="54">
        <f>I187+I189</f>
        <v>0</v>
      </c>
    </row>
    <row r="187" spans="1:9" s="5" customFormat="1" ht="56.25">
      <c r="A187" s="55" t="s">
        <v>144</v>
      </c>
      <c r="B187" s="4" t="s">
        <v>8</v>
      </c>
      <c r="C187" s="7" t="s">
        <v>4</v>
      </c>
      <c r="D187" s="7" t="s">
        <v>195</v>
      </c>
      <c r="E187" s="7"/>
      <c r="F187" s="42">
        <f>F188</f>
        <v>2588.3</v>
      </c>
      <c r="G187" s="42">
        <f>G188</f>
        <v>2588.3</v>
      </c>
      <c r="H187" s="42">
        <f>H188</f>
        <v>0</v>
      </c>
      <c r="I187" s="56">
        <f>I188</f>
        <v>0</v>
      </c>
    </row>
    <row r="188" spans="1:9" s="30" customFormat="1" ht="18.75">
      <c r="A188" s="57" t="s">
        <v>119</v>
      </c>
      <c r="B188" s="28" t="s">
        <v>8</v>
      </c>
      <c r="C188" s="29" t="s">
        <v>4</v>
      </c>
      <c r="D188" s="29" t="s">
        <v>202</v>
      </c>
      <c r="E188" s="29" t="s">
        <v>24</v>
      </c>
      <c r="F188" s="35">
        <f>SUM(G188:I188)</f>
        <v>2588.3</v>
      </c>
      <c r="G188" s="36">
        <f>1082+1578.5-72.2</f>
        <v>2588.3</v>
      </c>
      <c r="H188" s="36"/>
      <c r="I188" s="58"/>
    </row>
    <row r="189" spans="1:9" s="5" customFormat="1" ht="26.25" customHeight="1" hidden="1">
      <c r="A189" s="55" t="s">
        <v>72</v>
      </c>
      <c r="B189" s="4" t="s">
        <v>8</v>
      </c>
      <c r="C189" s="7" t="s">
        <v>4</v>
      </c>
      <c r="D189" s="7" t="s">
        <v>196</v>
      </c>
      <c r="E189" s="7"/>
      <c r="F189" s="39">
        <f>F190</f>
        <v>0</v>
      </c>
      <c r="G189" s="39">
        <f>G190</f>
        <v>0</v>
      </c>
      <c r="H189" s="39">
        <f>H190</f>
        <v>0</v>
      </c>
      <c r="I189" s="59">
        <f>I190</f>
        <v>0</v>
      </c>
    </row>
    <row r="190" spans="1:9" s="30" customFormat="1" ht="18.75" hidden="1">
      <c r="A190" s="57" t="s">
        <v>119</v>
      </c>
      <c r="B190" s="28" t="s">
        <v>8</v>
      </c>
      <c r="C190" s="29" t="s">
        <v>4</v>
      </c>
      <c r="D190" s="29" t="s">
        <v>196</v>
      </c>
      <c r="E190" s="29" t="s">
        <v>24</v>
      </c>
      <c r="F190" s="35">
        <f>SUM(G190:I190)</f>
        <v>0</v>
      </c>
      <c r="G190" s="36"/>
      <c r="H190" s="36"/>
      <c r="I190" s="58"/>
    </row>
    <row r="191" spans="1:9" s="15" customFormat="1" ht="18.75" hidden="1">
      <c r="A191" s="53" t="s">
        <v>86</v>
      </c>
      <c r="B191" s="13" t="s">
        <v>8</v>
      </c>
      <c r="C191" s="14" t="s">
        <v>4</v>
      </c>
      <c r="D191" s="14" t="s">
        <v>203</v>
      </c>
      <c r="E191" s="14"/>
      <c r="F191" s="43">
        <f>F192+F194</f>
        <v>0</v>
      </c>
      <c r="G191" s="43">
        <f>G192+G194</f>
        <v>0</v>
      </c>
      <c r="H191" s="43">
        <f>H192+H194</f>
        <v>0</v>
      </c>
      <c r="I191" s="54">
        <f>I192+I194</f>
        <v>0</v>
      </c>
    </row>
    <row r="192" spans="1:9" s="5" customFormat="1" ht="66" customHeight="1" hidden="1">
      <c r="A192" s="55" t="s">
        <v>87</v>
      </c>
      <c r="B192" s="4" t="s">
        <v>8</v>
      </c>
      <c r="C192" s="7" t="s">
        <v>4</v>
      </c>
      <c r="D192" s="7" t="s">
        <v>204</v>
      </c>
      <c r="E192" s="7"/>
      <c r="F192" s="39">
        <f>F193</f>
        <v>0</v>
      </c>
      <c r="G192" s="39">
        <f>G193</f>
        <v>0</v>
      </c>
      <c r="H192" s="39">
        <f>H193</f>
        <v>0</v>
      </c>
      <c r="I192" s="59">
        <f>I193</f>
        <v>0</v>
      </c>
    </row>
    <row r="193" spans="1:9" s="30" customFormat="1" ht="37.5" hidden="1">
      <c r="A193" s="62" t="s">
        <v>124</v>
      </c>
      <c r="B193" s="28" t="s">
        <v>8</v>
      </c>
      <c r="C193" s="29" t="s">
        <v>4</v>
      </c>
      <c r="D193" s="29" t="s">
        <v>204</v>
      </c>
      <c r="E193" s="29" t="s">
        <v>26</v>
      </c>
      <c r="F193" s="35">
        <f>SUM(G193:I193)</f>
        <v>0</v>
      </c>
      <c r="G193" s="36"/>
      <c r="H193" s="36"/>
      <c r="I193" s="58"/>
    </row>
    <row r="194" spans="1:9" s="5" customFormat="1" ht="18.75" hidden="1">
      <c r="A194" s="66" t="s">
        <v>88</v>
      </c>
      <c r="B194" s="4" t="s">
        <v>8</v>
      </c>
      <c r="C194" s="7" t="s">
        <v>4</v>
      </c>
      <c r="D194" s="7" t="s">
        <v>205</v>
      </c>
      <c r="E194" s="7"/>
      <c r="F194" s="39">
        <f>SUM(F195:F196)</f>
        <v>0</v>
      </c>
      <c r="G194" s="39">
        <f>SUM(G195:G196)</f>
        <v>0</v>
      </c>
      <c r="H194" s="39">
        <f>SUM(H195:H196)</f>
        <v>0</v>
      </c>
      <c r="I194" s="59">
        <f>SUM(I195:I196)</f>
        <v>0</v>
      </c>
    </row>
    <row r="195" spans="1:9" s="30" customFormat="1" ht="18.75" hidden="1">
      <c r="A195" s="57" t="s">
        <v>123</v>
      </c>
      <c r="B195" s="28" t="s">
        <v>8</v>
      </c>
      <c r="C195" s="29" t="s">
        <v>4</v>
      </c>
      <c r="D195" s="29" t="s">
        <v>205</v>
      </c>
      <c r="E195" s="29" t="s">
        <v>26</v>
      </c>
      <c r="F195" s="35">
        <f>SUM(G195:I195)</f>
        <v>0</v>
      </c>
      <c r="G195" s="36"/>
      <c r="H195" s="36"/>
      <c r="I195" s="58"/>
    </row>
    <row r="196" spans="1:9" s="30" customFormat="1" ht="37.5" hidden="1">
      <c r="A196" s="57" t="s">
        <v>124</v>
      </c>
      <c r="B196" s="28" t="s">
        <v>8</v>
      </c>
      <c r="C196" s="29" t="s">
        <v>4</v>
      </c>
      <c r="D196" s="29" t="s">
        <v>205</v>
      </c>
      <c r="E196" s="29" t="s">
        <v>20</v>
      </c>
      <c r="F196" s="35">
        <f>SUM(G196:I196)</f>
        <v>0</v>
      </c>
      <c r="G196" s="36"/>
      <c r="H196" s="36"/>
      <c r="I196" s="58"/>
    </row>
    <row r="197" spans="1:9" s="15" customFormat="1" ht="24.75" customHeight="1" hidden="1">
      <c r="A197" s="53" t="s">
        <v>94</v>
      </c>
      <c r="B197" s="13" t="s">
        <v>8</v>
      </c>
      <c r="C197" s="14" t="s">
        <v>4</v>
      </c>
      <c r="D197" s="14" t="s">
        <v>206</v>
      </c>
      <c r="E197" s="14"/>
      <c r="F197" s="43">
        <f>SUM(F198)</f>
        <v>0</v>
      </c>
      <c r="G197" s="43">
        <f>SUM(G198)</f>
        <v>0</v>
      </c>
      <c r="H197" s="43">
        <f>SUM(H198)</f>
        <v>0</v>
      </c>
      <c r="I197" s="54">
        <f>SUM(I198)</f>
        <v>0</v>
      </c>
    </row>
    <row r="198" spans="1:9" s="5" customFormat="1" ht="56.25" hidden="1">
      <c r="A198" s="55" t="s">
        <v>328</v>
      </c>
      <c r="B198" s="4" t="s">
        <v>8</v>
      </c>
      <c r="C198" s="7" t="s">
        <v>4</v>
      </c>
      <c r="D198" s="7" t="s">
        <v>247</v>
      </c>
      <c r="E198" s="7"/>
      <c r="F198" s="39">
        <f>SUM(F199:F199)</f>
        <v>0</v>
      </c>
      <c r="G198" s="39">
        <f>SUM(G199:G199)</f>
        <v>0</v>
      </c>
      <c r="H198" s="39">
        <f>SUM(H199:H199)</f>
        <v>0</v>
      </c>
      <c r="I198" s="59">
        <f>SUM(I199:I199)</f>
        <v>0</v>
      </c>
    </row>
    <row r="199" spans="1:9" s="30" customFormat="1" ht="18.75" hidden="1">
      <c r="A199" s="57" t="s">
        <v>119</v>
      </c>
      <c r="B199" s="28" t="s">
        <v>8</v>
      </c>
      <c r="C199" s="29" t="s">
        <v>4</v>
      </c>
      <c r="D199" s="29" t="s">
        <v>247</v>
      </c>
      <c r="E199" s="29" t="s">
        <v>24</v>
      </c>
      <c r="F199" s="35">
        <f>SUM(G199:I199)</f>
        <v>0</v>
      </c>
      <c r="G199" s="36"/>
      <c r="H199" s="36"/>
      <c r="I199" s="58"/>
    </row>
    <row r="200" spans="1:9" s="15" customFormat="1" ht="18.75">
      <c r="A200" s="53" t="s">
        <v>42</v>
      </c>
      <c r="B200" s="13" t="s">
        <v>8</v>
      </c>
      <c r="C200" s="14" t="s">
        <v>5</v>
      </c>
      <c r="D200" s="14"/>
      <c r="E200" s="14"/>
      <c r="F200" s="43">
        <f>SUM(F201,F204,F223)</f>
        <v>129178.5</v>
      </c>
      <c r="G200" s="43">
        <f>SUM(G201,G204,G223)</f>
        <v>129028.5</v>
      </c>
      <c r="H200" s="43">
        <f>SUM(H201,H204,H223)</f>
        <v>150</v>
      </c>
      <c r="I200" s="54">
        <f>SUM(I201,I204,I223)</f>
        <v>0</v>
      </c>
    </row>
    <row r="201" spans="1:9" s="15" customFormat="1" ht="55.5" customHeight="1">
      <c r="A201" s="53" t="s">
        <v>71</v>
      </c>
      <c r="B201" s="13" t="s">
        <v>8</v>
      </c>
      <c r="C201" s="14" t="s">
        <v>5</v>
      </c>
      <c r="D201" s="14" t="s">
        <v>194</v>
      </c>
      <c r="E201" s="14"/>
      <c r="F201" s="43">
        <f>SUM(F202)</f>
        <v>680</v>
      </c>
      <c r="G201" s="43">
        <f>SUM(G202)</f>
        <v>680</v>
      </c>
      <c r="H201" s="43">
        <f>SUM(H202)</f>
        <v>0</v>
      </c>
      <c r="I201" s="54">
        <f>SUM(I202)</f>
        <v>0</v>
      </c>
    </row>
    <row r="202" spans="1:9" s="5" customFormat="1" ht="56.25">
      <c r="A202" s="55" t="s">
        <v>390</v>
      </c>
      <c r="B202" s="4" t="s">
        <v>8</v>
      </c>
      <c r="C202" s="7" t="s">
        <v>5</v>
      </c>
      <c r="D202" s="7" t="s">
        <v>195</v>
      </c>
      <c r="E202" s="7"/>
      <c r="F202" s="42">
        <f>F203</f>
        <v>680</v>
      </c>
      <c r="G202" s="42">
        <f>G203</f>
        <v>680</v>
      </c>
      <c r="H202" s="42">
        <f>H203</f>
        <v>0</v>
      </c>
      <c r="I202" s="56">
        <f>I203</f>
        <v>0</v>
      </c>
    </row>
    <row r="203" spans="1:9" s="30" customFormat="1" ht="18.75">
      <c r="A203" s="57" t="s">
        <v>119</v>
      </c>
      <c r="B203" s="28" t="s">
        <v>8</v>
      </c>
      <c r="C203" s="29" t="s">
        <v>5</v>
      </c>
      <c r="D203" s="29" t="s">
        <v>195</v>
      </c>
      <c r="E203" s="29" t="s">
        <v>24</v>
      </c>
      <c r="F203" s="35">
        <f>SUM(G203:I203)</f>
        <v>680</v>
      </c>
      <c r="G203" s="36">
        <f>2000-1320</f>
        <v>680</v>
      </c>
      <c r="H203" s="36"/>
      <c r="I203" s="58"/>
    </row>
    <row r="204" spans="1:9" s="15" customFormat="1" ht="18.75">
      <c r="A204" s="53" t="s">
        <v>42</v>
      </c>
      <c r="B204" s="13" t="s">
        <v>8</v>
      </c>
      <c r="C204" s="14" t="s">
        <v>5</v>
      </c>
      <c r="D204" s="14" t="s">
        <v>208</v>
      </c>
      <c r="E204" s="14"/>
      <c r="F204" s="44">
        <f>F205+F208+F214+F217+F220+F211</f>
        <v>128498.5</v>
      </c>
      <c r="G204" s="44">
        <f>G205+G208+G214+G217+G220+G211</f>
        <v>128348.5</v>
      </c>
      <c r="H204" s="44">
        <f>H205+H208+H214+H217+H220+H211</f>
        <v>150</v>
      </c>
      <c r="I204" s="63">
        <f>I205+I208+I214+I217+I220+I211</f>
        <v>0</v>
      </c>
    </row>
    <row r="205" spans="1:9" s="5" customFormat="1" ht="18.75">
      <c r="A205" s="55" t="s">
        <v>89</v>
      </c>
      <c r="B205" s="4" t="s">
        <v>8</v>
      </c>
      <c r="C205" s="7" t="s">
        <v>5</v>
      </c>
      <c r="D205" s="7" t="s">
        <v>209</v>
      </c>
      <c r="E205" s="7"/>
      <c r="F205" s="39">
        <f>SUM(F206:F207)</f>
        <v>14390</v>
      </c>
      <c r="G205" s="39">
        <f>SUM(G206:G207)</f>
        <v>14390</v>
      </c>
      <c r="H205" s="39">
        <f>SUM(H206:H207)</f>
        <v>0</v>
      </c>
      <c r="I205" s="59">
        <f>SUM(I206:I207)</f>
        <v>0</v>
      </c>
    </row>
    <row r="206" spans="1:9" s="30" customFormat="1" ht="20.25" customHeight="1" hidden="1">
      <c r="A206" s="57" t="s">
        <v>123</v>
      </c>
      <c r="B206" s="28" t="s">
        <v>8</v>
      </c>
      <c r="C206" s="29" t="s">
        <v>5</v>
      </c>
      <c r="D206" s="29" t="s">
        <v>209</v>
      </c>
      <c r="E206" s="29" t="s">
        <v>26</v>
      </c>
      <c r="F206" s="35">
        <f>SUM(G206:I206)</f>
        <v>0</v>
      </c>
      <c r="G206" s="36"/>
      <c r="H206" s="36"/>
      <c r="I206" s="58"/>
    </row>
    <row r="207" spans="1:9" s="30" customFormat="1" ht="37.5">
      <c r="A207" s="57" t="s">
        <v>124</v>
      </c>
      <c r="B207" s="28" t="s">
        <v>8</v>
      </c>
      <c r="C207" s="29" t="s">
        <v>5</v>
      </c>
      <c r="D207" s="29" t="s">
        <v>209</v>
      </c>
      <c r="E207" s="29" t="s">
        <v>20</v>
      </c>
      <c r="F207" s="35">
        <f>SUM(G207:I207)</f>
        <v>14390</v>
      </c>
      <c r="G207" s="36">
        <v>14390</v>
      </c>
      <c r="H207" s="36"/>
      <c r="I207" s="58"/>
    </row>
    <row r="208" spans="1:9" s="5" customFormat="1" ht="56.25">
      <c r="A208" s="55" t="s">
        <v>90</v>
      </c>
      <c r="B208" s="4" t="s">
        <v>8</v>
      </c>
      <c r="C208" s="7" t="s">
        <v>5</v>
      </c>
      <c r="D208" s="7" t="s">
        <v>210</v>
      </c>
      <c r="E208" s="7"/>
      <c r="F208" s="39">
        <f>SUM(F209:F210)</f>
        <v>80338.7</v>
      </c>
      <c r="G208" s="39">
        <f>SUM(G209:G210)</f>
        <v>80338.7</v>
      </c>
      <c r="H208" s="39">
        <f>SUM(H209:H210)</f>
        <v>0</v>
      </c>
      <c r="I208" s="59">
        <f>SUM(I209:I210)</f>
        <v>0</v>
      </c>
    </row>
    <row r="209" spans="1:9" s="30" customFormat="1" ht="18" customHeight="1" hidden="1">
      <c r="A209" s="57" t="s">
        <v>123</v>
      </c>
      <c r="B209" s="28" t="s">
        <v>8</v>
      </c>
      <c r="C209" s="29" t="s">
        <v>5</v>
      </c>
      <c r="D209" s="29" t="s">
        <v>210</v>
      </c>
      <c r="E209" s="29" t="s">
        <v>26</v>
      </c>
      <c r="F209" s="35">
        <f>SUM(G209:I209)</f>
        <v>0</v>
      </c>
      <c r="G209" s="36"/>
      <c r="H209" s="36"/>
      <c r="I209" s="58"/>
    </row>
    <row r="210" spans="1:9" s="30" customFormat="1" ht="37.5">
      <c r="A210" s="57" t="s">
        <v>124</v>
      </c>
      <c r="B210" s="28" t="s">
        <v>8</v>
      </c>
      <c r="C210" s="29" t="s">
        <v>5</v>
      </c>
      <c r="D210" s="29" t="s">
        <v>210</v>
      </c>
      <c r="E210" s="29" t="s">
        <v>20</v>
      </c>
      <c r="F210" s="35">
        <f>SUM(G210:I210)</f>
        <v>80338.7</v>
      </c>
      <c r="G210" s="36">
        <f>76697.7-1082+456+4300-33</f>
        <v>80338.7</v>
      </c>
      <c r="H210" s="36"/>
      <c r="I210" s="58"/>
    </row>
    <row r="211" spans="1:9" s="30" customFormat="1" ht="75">
      <c r="A211" s="55" t="s">
        <v>470</v>
      </c>
      <c r="B211" s="4" t="s">
        <v>8</v>
      </c>
      <c r="C211" s="7" t="s">
        <v>5</v>
      </c>
      <c r="D211" s="7" t="s">
        <v>210</v>
      </c>
      <c r="E211" s="7"/>
      <c r="F211" s="39">
        <f>SUM(F212:F213)</f>
        <v>150</v>
      </c>
      <c r="G211" s="39">
        <f>SUM(G212:G213)</f>
        <v>0</v>
      </c>
      <c r="H211" s="39">
        <f>SUM(H212:H213)</f>
        <v>150</v>
      </c>
      <c r="I211" s="59">
        <f>SUM(I212:I213)</f>
        <v>0</v>
      </c>
    </row>
    <row r="212" spans="1:9" s="30" customFormat="1" ht="18.75" hidden="1">
      <c r="A212" s="57" t="s">
        <v>123</v>
      </c>
      <c r="B212" s="28" t="s">
        <v>8</v>
      </c>
      <c r="C212" s="29" t="s">
        <v>5</v>
      </c>
      <c r="D212" s="29" t="s">
        <v>210</v>
      </c>
      <c r="E212" s="29" t="s">
        <v>26</v>
      </c>
      <c r="F212" s="35">
        <f>SUM(G212:I212)</f>
        <v>0</v>
      </c>
      <c r="G212" s="36"/>
      <c r="H212" s="36"/>
      <c r="I212" s="58"/>
    </row>
    <row r="213" spans="1:9" s="30" customFormat="1" ht="37.5">
      <c r="A213" s="57" t="s">
        <v>124</v>
      </c>
      <c r="B213" s="28" t="s">
        <v>8</v>
      </c>
      <c r="C213" s="29" t="s">
        <v>5</v>
      </c>
      <c r="D213" s="29" t="s">
        <v>210</v>
      </c>
      <c r="E213" s="29" t="s">
        <v>20</v>
      </c>
      <c r="F213" s="35">
        <f>SUM(G213:I213)</f>
        <v>150</v>
      </c>
      <c r="G213" s="36"/>
      <c r="H213" s="36">
        <v>150</v>
      </c>
      <c r="I213" s="58"/>
    </row>
    <row r="214" spans="1:9" s="5" customFormat="1" ht="18.75">
      <c r="A214" s="55" t="s">
        <v>91</v>
      </c>
      <c r="B214" s="4" t="s">
        <v>8</v>
      </c>
      <c r="C214" s="7" t="s">
        <v>5</v>
      </c>
      <c r="D214" s="7" t="s">
        <v>211</v>
      </c>
      <c r="E214" s="7"/>
      <c r="F214" s="39">
        <f>SUM(F215:F216)</f>
        <v>19800</v>
      </c>
      <c r="G214" s="39">
        <f>SUM(G215:G216)</f>
        <v>19800</v>
      </c>
      <c r="H214" s="39">
        <f>SUM(H215:H216)</f>
        <v>0</v>
      </c>
      <c r="I214" s="59">
        <f>SUM(I215:I216)</f>
        <v>0</v>
      </c>
    </row>
    <row r="215" spans="1:9" s="30" customFormat="1" ht="21.75" customHeight="1" hidden="1">
      <c r="A215" s="57" t="s">
        <v>123</v>
      </c>
      <c r="B215" s="28" t="s">
        <v>8</v>
      </c>
      <c r="C215" s="29" t="s">
        <v>5</v>
      </c>
      <c r="D215" s="29" t="s">
        <v>211</v>
      </c>
      <c r="E215" s="29" t="s">
        <v>26</v>
      </c>
      <c r="F215" s="35">
        <f>SUM(G215:I215)</f>
        <v>0</v>
      </c>
      <c r="G215" s="36"/>
      <c r="H215" s="36"/>
      <c r="I215" s="58"/>
    </row>
    <row r="216" spans="1:9" s="30" customFormat="1" ht="37.5">
      <c r="A216" s="57" t="s">
        <v>124</v>
      </c>
      <c r="B216" s="28" t="s">
        <v>8</v>
      </c>
      <c r="C216" s="29" t="s">
        <v>5</v>
      </c>
      <c r="D216" s="29" t="s">
        <v>211</v>
      </c>
      <c r="E216" s="29" t="s">
        <v>20</v>
      </c>
      <c r="F216" s="35">
        <f>SUM(G216:I216)</f>
        <v>19800</v>
      </c>
      <c r="G216" s="36">
        <v>19800</v>
      </c>
      <c r="H216" s="36"/>
      <c r="I216" s="58"/>
    </row>
    <row r="217" spans="1:9" s="5" customFormat="1" ht="18.75">
      <c r="A217" s="55" t="s">
        <v>92</v>
      </c>
      <c r="B217" s="4" t="s">
        <v>8</v>
      </c>
      <c r="C217" s="7" t="s">
        <v>5</v>
      </c>
      <c r="D217" s="7" t="s">
        <v>212</v>
      </c>
      <c r="E217" s="7"/>
      <c r="F217" s="39">
        <f>SUM(F218:F219)</f>
        <v>4341.8</v>
      </c>
      <c r="G217" s="39">
        <f>SUM(G218:G219)</f>
        <v>4341.8</v>
      </c>
      <c r="H217" s="39">
        <f>SUM(H218:H219)</f>
        <v>0</v>
      </c>
      <c r="I217" s="59">
        <f>SUM(I218:I219)</f>
        <v>0</v>
      </c>
    </row>
    <row r="218" spans="1:9" s="30" customFormat="1" ht="24.75" customHeight="1" hidden="1">
      <c r="A218" s="57" t="s">
        <v>123</v>
      </c>
      <c r="B218" s="28" t="s">
        <v>8</v>
      </c>
      <c r="C218" s="29" t="s">
        <v>5</v>
      </c>
      <c r="D218" s="29" t="s">
        <v>212</v>
      </c>
      <c r="E218" s="29" t="s">
        <v>26</v>
      </c>
      <c r="F218" s="35">
        <f>SUM(G218:I218)</f>
        <v>0</v>
      </c>
      <c r="G218" s="36"/>
      <c r="H218" s="36"/>
      <c r="I218" s="58"/>
    </row>
    <row r="219" spans="1:9" s="30" customFormat="1" ht="37.5">
      <c r="A219" s="57" t="s">
        <v>124</v>
      </c>
      <c r="B219" s="28" t="s">
        <v>8</v>
      </c>
      <c r="C219" s="29" t="s">
        <v>5</v>
      </c>
      <c r="D219" s="29" t="s">
        <v>212</v>
      </c>
      <c r="E219" s="29" t="s">
        <v>20</v>
      </c>
      <c r="F219" s="35">
        <f>SUM(G219:I219)</f>
        <v>4341.8</v>
      </c>
      <c r="G219" s="36">
        <f>2840+1860-51.2-307</f>
        <v>4341.8</v>
      </c>
      <c r="H219" s="36"/>
      <c r="I219" s="58"/>
    </row>
    <row r="220" spans="1:9" s="5" customFormat="1" ht="37.5">
      <c r="A220" s="55" t="s">
        <v>93</v>
      </c>
      <c r="B220" s="4" t="s">
        <v>8</v>
      </c>
      <c r="C220" s="7" t="s">
        <v>5</v>
      </c>
      <c r="D220" s="7" t="s">
        <v>213</v>
      </c>
      <c r="E220" s="7"/>
      <c r="F220" s="39">
        <f>SUM(F221:F222)</f>
        <v>9478</v>
      </c>
      <c r="G220" s="39">
        <f>SUM(G221:G222)</f>
        <v>9478</v>
      </c>
      <c r="H220" s="39">
        <f>SUM(H221:H222)</f>
        <v>0</v>
      </c>
      <c r="I220" s="59">
        <f>SUM(I221:I222)</f>
        <v>0</v>
      </c>
    </row>
    <row r="221" spans="1:9" s="30" customFormat="1" ht="22.5" customHeight="1" hidden="1">
      <c r="A221" s="57" t="s">
        <v>123</v>
      </c>
      <c r="B221" s="28" t="s">
        <v>8</v>
      </c>
      <c r="C221" s="29" t="s">
        <v>5</v>
      </c>
      <c r="D221" s="29" t="s">
        <v>213</v>
      </c>
      <c r="E221" s="29" t="s">
        <v>26</v>
      </c>
      <c r="F221" s="35">
        <f>SUM(G221:I221)</f>
        <v>0</v>
      </c>
      <c r="G221" s="36"/>
      <c r="H221" s="36"/>
      <c r="I221" s="58"/>
    </row>
    <row r="222" spans="1:9" s="30" customFormat="1" ht="37.5">
      <c r="A222" s="57" t="s">
        <v>124</v>
      </c>
      <c r="B222" s="28" t="s">
        <v>8</v>
      </c>
      <c r="C222" s="29" t="s">
        <v>5</v>
      </c>
      <c r="D222" s="29" t="s">
        <v>213</v>
      </c>
      <c r="E222" s="29" t="s">
        <v>20</v>
      </c>
      <c r="F222" s="35">
        <f>SUM(G222:I222)</f>
        <v>9478</v>
      </c>
      <c r="G222" s="36">
        <f>7200+268+1339.7-39.7+270+33+407</f>
        <v>9478</v>
      </c>
      <c r="H222" s="36"/>
      <c r="I222" s="58"/>
    </row>
    <row r="223" spans="1:9" s="30" customFormat="1" ht="21.75" customHeight="1" hidden="1">
      <c r="A223" s="53" t="s">
        <v>94</v>
      </c>
      <c r="B223" s="13" t="s">
        <v>8</v>
      </c>
      <c r="C223" s="14" t="s">
        <v>5</v>
      </c>
      <c r="D223" s="14" t="s">
        <v>206</v>
      </c>
      <c r="E223" s="14"/>
      <c r="F223" s="43">
        <f aca="true" t="shared" si="19" ref="F223:I224">SUM(F224)</f>
        <v>0</v>
      </c>
      <c r="G223" s="43">
        <f t="shared" si="19"/>
        <v>0</v>
      </c>
      <c r="H223" s="43">
        <f t="shared" si="19"/>
        <v>0</v>
      </c>
      <c r="I223" s="54">
        <f t="shared" si="19"/>
        <v>0</v>
      </c>
    </row>
    <row r="224" spans="1:9" s="30" customFormat="1" ht="37.5" hidden="1">
      <c r="A224" s="55" t="s">
        <v>332</v>
      </c>
      <c r="B224" s="4" t="s">
        <v>8</v>
      </c>
      <c r="C224" s="7" t="s">
        <v>5</v>
      </c>
      <c r="D224" s="7" t="s">
        <v>331</v>
      </c>
      <c r="E224" s="7"/>
      <c r="F224" s="35">
        <f t="shared" si="19"/>
        <v>0</v>
      </c>
      <c r="G224" s="35">
        <f t="shared" si="19"/>
        <v>0</v>
      </c>
      <c r="H224" s="35">
        <f t="shared" si="19"/>
        <v>0</v>
      </c>
      <c r="I224" s="61">
        <f t="shared" si="19"/>
        <v>0</v>
      </c>
    </row>
    <row r="225" spans="1:9" s="30" customFormat="1" ht="37.5" hidden="1">
      <c r="A225" s="57" t="s">
        <v>124</v>
      </c>
      <c r="B225" s="28" t="s">
        <v>8</v>
      </c>
      <c r="C225" s="29" t="s">
        <v>5</v>
      </c>
      <c r="D225" s="29" t="s">
        <v>331</v>
      </c>
      <c r="E225" s="29" t="s">
        <v>20</v>
      </c>
      <c r="F225" s="35">
        <f>SUM(G225:I225)</f>
        <v>0</v>
      </c>
      <c r="G225" s="36"/>
      <c r="H225" s="36"/>
      <c r="I225" s="58"/>
    </row>
    <row r="226" spans="1:9" s="15" customFormat="1" ht="37.5">
      <c r="A226" s="53" t="s">
        <v>417</v>
      </c>
      <c r="B226" s="13" t="s">
        <v>8</v>
      </c>
      <c r="C226" s="14" t="s">
        <v>8</v>
      </c>
      <c r="D226" s="14"/>
      <c r="E226" s="14"/>
      <c r="F226" s="43">
        <f>SUM(F227,F230,F237)</f>
        <v>20269.3</v>
      </c>
      <c r="G226" s="43">
        <f>SUM(G227,G230,G237)</f>
        <v>20269.3</v>
      </c>
      <c r="H226" s="43">
        <f>SUM(H227,H230,H237)</f>
        <v>0</v>
      </c>
      <c r="I226" s="54">
        <f>SUM(I227,I230,I237)</f>
        <v>0</v>
      </c>
    </row>
    <row r="227" spans="1:9" s="15" customFormat="1" ht="75">
      <c r="A227" s="53" t="s">
        <v>57</v>
      </c>
      <c r="B227" s="13" t="s">
        <v>8</v>
      </c>
      <c r="C227" s="14" t="s">
        <v>8</v>
      </c>
      <c r="D227" s="14" t="s">
        <v>165</v>
      </c>
      <c r="E227" s="14"/>
      <c r="F227" s="43">
        <f aca="true" t="shared" si="20" ref="F227:I233">F228</f>
        <v>6743.299999999999</v>
      </c>
      <c r="G227" s="43">
        <f t="shared" si="20"/>
        <v>6743.299999999999</v>
      </c>
      <c r="H227" s="43">
        <f t="shared" si="20"/>
        <v>0</v>
      </c>
      <c r="I227" s="54">
        <f t="shared" si="20"/>
        <v>0</v>
      </c>
    </row>
    <row r="228" spans="1:9" s="5" customFormat="1" ht="18.75">
      <c r="A228" s="55" t="s">
        <v>59</v>
      </c>
      <c r="B228" s="4" t="s">
        <v>8</v>
      </c>
      <c r="C228" s="7" t="s">
        <v>8</v>
      </c>
      <c r="D228" s="7" t="s">
        <v>167</v>
      </c>
      <c r="E228" s="7"/>
      <c r="F228" s="42">
        <f t="shared" si="20"/>
        <v>6743.299999999999</v>
      </c>
      <c r="G228" s="42">
        <f t="shared" si="20"/>
        <v>6743.299999999999</v>
      </c>
      <c r="H228" s="42">
        <f t="shared" si="20"/>
        <v>0</v>
      </c>
      <c r="I228" s="56">
        <f t="shared" si="20"/>
        <v>0</v>
      </c>
    </row>
    <row r="229" spans="1:9" s="30" customFormat="1" ht="37.5">
      <c r="A229" s="57" t="s">
        <v>124</v>
      </c>
      <c r="B229" s="28" t="s">
        <v>8</v>
      </c>
      <c r="C229" s="29" t="s">
        <v>8</v>
      </c>
      <c r="D229" s="29" t="s">
        <v>167</v>
      </c>
      <c r="E229" s="29" t="s">
        <v>20</v>
      </c>
      <c r="F229" s="35">
        <f>SUM(G229:I229)</f>
        <v>6743.299999999999</v>
      </c>
      <c r="G229" s="36">
        <f>6263.7+122.4+71.7+125+143.2+17.3</f>
        <v>6743.299999999999</v>
      </c>
      <c r="H229" s="36"/>
      <c r="I229" s="58"/>
    </row>
    <row r="230" spans="1:9" s="15" customFormat="1" ht="60.75" customHeight="1">
      <c r="A230" s="53" t="s">
        <v>157</v>
      </c>
      <c r="B230" s="13" t="s">
        <v>8</v>
      </c>
      <c r="C230" s="14" t="s">
        <v>8</v>
      </c>
      <c r="D230" s="14" t="s">
        <v>214</v>
      </c>
      <c r="E230" s="14"/>
      <c r="F230" s="43">
        <f>F231+F233</f>
        <v>225</v>
      </c>
      <c r="G230" s="43">
        <f>G231+G233</f>
        <v>225</v>
      </c>
      <c r="H230" s="43">
        <f>H231+H233</f>
        <v>0</v>
      </c>
      <c r="I230" s="54">
        <f>I231+I233</f>
        <v>0</v>
      </c>
    </row>
    <row r="231" spans="1:9" s="5" customFormat="1" ht="42" customHeight="1">
      <c r="A231" s="55" t="s">
        <v>446</v>
      </c>
      <c r="B231" s="4" t="s">
        <v>8</v>
      </c>
      <c r="C231" s="7" t="s">
        <v>8</v>
      </c>
      <c r="D231" s="7" t="s">
        <v>333</v>
      </c>
      <c r="E231" s="7"/>
      <c r="F231" s="42">
        <f t="shared" si="20"/>
        <v>225</v>
      </c>
      <c r="G231" s="42">
        <f t="shared" si="20"/>
        <v>225</v>
      </c>
      <c r="H231" s="42">
        <f t="shared" si="20"/>
        <v>0</v>
      </c>
      <c r="I231" s="56">
        <f t="shared" si="20"/>
        <v>0</v>
      </c>
    </row>
    <row r="232" spans="1:9" s="30" customFormat="1" ht="25.5" customHeight="1">
      <c r="A232" s="57" t="s">
        <v>119</v>
      </c>
      <c r="B232" s="28" t="s">
        <v>8</v>
      </c>
      <c r="C232" s="29" t="s">
        <v>8</v>
      </c>
      <c r="D232" s="29" t="s">
        <v>333</v>
      </c>
      <c r="E232" s="29" t="s">
        <v>24</v>
      </c>
      <c r="F232" s="35">
        <f>SUM(G232:I232)</f>
        <v>225</v>
      </c>
      <c r="G232" s="36">
        <v>225</v>
      </c>
      <c r="H232" s="36"/>
      <c r="I232" s="58"/>
    </row>
    <row r="233" spans="1:9" s="5" customFormat="1" ht="42" customHeight="1" hidden="1">
      <c r="A233" s="55" t="s">
        <v>397</v>
      </c>
      <c r="B233" s="4" t="s">
        <v>8</v>
      </c>
      <c r="C233" s="7" t="s">
        <v>8</v>
      </c>
      <c r="D233" s="7" t="s">
        <v>472</v>
      </c>
      <c r="E233" s="7"/>
      <c r="F233" s="42">
        <f t="shared" si="20"/>
        <v>0</v>
      </c>
      <c r="G233" s="42">
        <f t="shared" si="20"/>
        <v>0</v>
      </c>
      <c r="H233" s="42">
        <f t="shared" si="20"/>
        <v>0</v>
      </c>
      <c r="I233" s="56">
        <f t="shared" si="20"/>
        <v>0</v>
      </c>
    </row>
    <row r="234" spans="1:9" s="30" customFormat="1" ht="25.5" customHeight="1" hidden="1">
      <c r="A234" s="57" t="s">
        <v>119</v>
      </c>
      <c r="B234" s="28" t="s">
        <v>8</v>
      </c>
      <c r="C234" s="29" t="s">
        <v>8</v>
      </c>
      <c r="D234" s="29" t="s">
        <v>472</v>
      </c>
      <c r="E234" s="29" t="s">
        <v>24</v>
      </c>
      <c r="F234" s="35">
        <f>SUM(G234:I234)</f>
        <v>0</v>
      </c>
      <c r="G234" s="36"/>
      <c r="H234" s="36"/>
      <c r="I234" s="58"/>
    </row>
    <row r="235" spans="1:9" s="5" customFormat="1" ht="42" customHeight="1" hidden="1">
      <c r="A235" s="55"/>
      <c r="B235" s="4"/>
      <c r="C235" s="7"/>
      <c r="D235" s="7"/>
      <c r="E235" s="7"/>
      <c r="F235" s="42">
        <f>F236</f>
        <v>0</v>
      </c>
      <c r="G235" s="42">
        <f>G236</f>
        <v>0</v>
      </c>
      <c r="H235" s="42">
        <f>H236</f>
        <v>0</v>
      </c>
      <c r="I235" s="56">
        <f>I236</f>
        <v>0</v>
      </c>
    </row>
    <row r="236" spans="1:9" s="30" customFormat="1" ht="25.5" customHeight="1" hidden="1">
      <c r="A236" s="57"/>
      <c r="B236" s="28"/>
      <c r="C236" s="29"/>
      <c r="D236" s="29"/>
      <c r="E236" s="29"/>
      <c r="F236" s="35">
        <f>SUM(G236:I236)</f>
        <v>0</v>
      </c>
      <c r="G236" s="36"/>
      <c r="H236" s="36"/>
      <c r="I236" s="58"/>
    </row>
    <row r="237" spans="1:9" s="30" customFormat="1" ht="25.5" customHeight="1">
      <c r="A237" s="53" t="s">
        <v>382</v>
      </c>
      <c r="B237" s="13" t="s">
        <v>8</v>
      </c>
      <c r="C237" s="14" t="s">
        <v>8</v>
      </c>
      <c r="D237" s="14" t="s">
        <v>206</v>
      </c>
      <c r="E237" s="14"/>
      <c r="F237" s="43">
        <f>SUM(F238,F241,F244)</f>
        <v>13301</v>
      </c>
      <c r="G237" s="43">
        <f>SUM(G238,G241,G244)</f>
        <v>13301</v>
      </c>
      <c r="H237" s="43">
        <f>SUM(H238,H241,H244)</f>
        <v>0</v>
      </c>
      <c r="I237" s="54">
        <f>SUM(I238,I241,I244)</f>
        <v>0</v>
      </c>
    </row>
    <row r="238" spans="1:9" s="30" customFormat="1" ht="47.25" customHeight="1">
      <c r="A238" s="55" t="s">
        <v>419</v>
      </c>
      <c r="B238" s="4" t="s">
        <v>8</v>
      </c>
      <c r="C238" s="7" t="s">
        <v>8</v>
      </c>
      <c r="D238" s="7" t="s">
        <v>413</v>
      </c>
      <c r="E238" s="7"/>
      <c r="F238" s="39">
        <f>SUM(F239:F240)</f>
        <v>133.3</v>
      </c>
      <c r="G238" s="39">
        <f>SUM(G239:G240)</f>
        <v>133.3</v>
      </c>
      <c r="H238" s="39">
        <f>SUM(H239:H240)</f>
        <v>0</v>
      </c>
      <c r="I238" s="59">
        <f>SUM(I239:I240)</f>
        <v>0</v>
      </c>
    </row>
    <row r="239" spans="1:9" s="30" customFormat="1" ht="18.75" hidden="1">
      <c r="A239" s="57" t="s">
        <v>123</v>
      </c>
      <c r="B239" s="28" t="s">
        <v>8</v>
      </c>
      <c r="C239" s="29" t="s">
        <v>8</v>
      </c>
      <c r="D239" s="29" t="s">
        <v>207</v>
      </c>
      <c r="E239" s="29" t="s">
        <v>26</v>
      </c>
      <c r="F239" s="35">
        <f>SUM(G239:I239)</f>
        <v>0</v>
      </c>
      <c r="G239" s="36"/>
      <c r="H239" s="36"/>
      <c r="I239" s="58"/>
    </row>
    <row r="240" spans="1:9" s="30" customFormat="1" ht="37.5">
      <c r="A240" s="57" t="s">
        <v>124</v>
      </c>
      <c r="B240" s="28" t="s">
        <v>8</v>
      </c>
      <c r="C240" s="29" t="s">
        <v>8</v>
      </c>
      <c r="D240" s="29" t="s">
        <v>413</v>
      </c>
      <c r="E240" s="29" t="s">
        <v>20</v>
      </c>
      <c r="F240" s="35">
        <f>SUM(G240:I240)</f>
        <v>133.3</v>
      </c>
      <c r="G240" s="36">
        <v>133.3</v>
      </c>
      <c r="H240" s="36"/>
      <c r="I240" s="58"/>
    </row>
    <row r="241" spans="1:9" s="30" customFormat="1" ht="56.25">
      <c r="A241" s="55" t="s">
        <v>445</v>
      </c>
      <c r="B241" s="4" t="s">
        <v>8</v>
      </c>
      <c r="C241" s="7" t="s">
        <v>8</v>
      </c>
      <c r="D241" s="7" t="s">
        <v>207</v>
      </c>
      <c r="E241" s="7"/>
      <c r="F241" s="39">
        <f>SUM(F242:F243)</f>
        <v>13167.7</v>
      </c>
      <c r="G241" s="39">
        <f>SUM(G242:G243)</f>
        <v>13167.7</v>
      </c>
      <c r="H241" s="39">
        <f>SUM(H242:H243)</f>
        <v>0</v>
      </c>
      <c r="I241" s="59">
        <f>SUM(I242:I243)</f>
        <v>0</v>
      </c>
    </row>
    <row r="242" spans="1:9" s="30" customFormat="1" ht="18.75" hidden="1">
      <c r="A242" s="57" t="s">
        <v>123</v>
      </c>
      <c r="B242" s="28" t="s">
        <v>8</v>
      </c>
      <c r="C242" s="29" t="s">
        <v>8</v>
      </c>
      <c r="D242" s="29" t="s">
        <v>247</v>
      </c>
      <c r="E242" s="29" t="s">
        <v>26</v>
      </c>
      <c r="F242" s="35">
        <f>SUM(G242:I242)</f>
        <v>0</v>
      </c>
      <c r="G242" s="36"/>
      <c r="H242" s="36"/>
      <c r="I242" s="58"/>
    </row>
    <row r="243" spans="1:9" s="30" customFormat="1" ht="37.5">
      <c r="A243" s="57" t="s">
        <v>124</v>
      </c>
      <c r="B243" s="28" t="s">
        <v>8</v>
      </c>
      <c r="C243" s="29" t="s">
        <v>8</v>
      </c>
      <c r="D243" s="29" t="s">
        <v>247</v>
      </c>
      <c r="E243" s="29" t="s">
        <v>20</v>
      </c>
      <c r="F243" s="35">
        <f>SUM(G243:I243)</f>
        <v>13167.7</v>
      </c>
      <c r="G243" s="36">
        <f>13994.6-826.9</f>
        <v>13167.7</v>
      </c>
      <c r="H243" s="36"/>
      <c r="I243" s="58"/>
    </row>
    <row r="244" spans="1:9" s="30" customFormat="1" ht="56.25" hidden="1">
      <c r="A244" s="55" t="s">
        <v>448</v>
      </c>
      <c r="B244" s="4" t="s">
        <v>8</v>
      </c>
      <c r="C244" s="7" t="s">
        <v>8</v>
      </c>
      <c r="D244" s="7" t="s">
        <v>247</v>
      </c>
      <c r="E244" s="7"/>
      <c r="F244" s="39">
        <f>SUM(F245:F246)</f>
        <v>0</v>
      </c>
      <c r="G244" s="39">
        <f>SUM(G245:G246)</f>
        <v>0</v>
      </c>
      <c r="H244" s="39">
        <f>SUM(H245:H246)</f>
        <v>0</v>
      </c>
      <c r="I244" s="59">
        <f>SUM(I245:I246)</f>
        <v>0</v>
      </c>
    </row>
    <row r="245" spans="1:9" s="30" customFormat="1" ht="18.75" hidden="1">
      <c r="A245" s="57" t="s">
        <v>123</v>
      </c>
      <c r="B245" s="28" t="s">
        <v>8</v>
      </c>
      <c r="C245" s="29" t="s">
        <v>8</v>
      </c>
      <c r="D245" s="29" t="s">
        <v>247</v>
      </c>
      <c r="E245" s="29" t="s">
        <v>26</v>
      </c>
      <c r="F245" s="35">
        <f>SUM(G245:I245)</f>
        <v>0</v>
      </c>
      <c r="G245" s="36"/>
      <c r="H245" s="36"/>
      <c r="I245" s="58"/>
    </row>
    <row r="246" spans="1:9" s="30" customFormat="1" ht="37.5" hidden="1">
      <c r="A246" s="57" t="s">
        <v>124</v>
      </c>
      <c r="B246" s="28" t="s">
        <v>8</v>
      </c>
      <c r="C246" s="29" t="s">
        <v>8</v>
      </c>
      <c r="D246" s="29" t="s">
        <v>207</v>
      </c>
      <c r="E246" s="29" t="s">
        <v>20</v>
      </c>
      <c r="F246" s="35">
        <f>SUM(G246:I246)</f>
        <v>0</v>
      </c>
      <c r="G246" s="36"/>
      <c r="H246" s="36"/>
      <c r="I246" s="58"/>
    </row>
    <row r="247" spans="1:9" s="15" customFormat="1" ht="27.75" customHeight="1" hidden="1">
      <c r="A247" s="53" t="s">
        <v>151</v>
      </c>
      <c r="B247" s="13" t="s">
        <v>9</v>
      </c>
      <c r="C247" s="14" t="s">
        <v>8</v>
      </c>
      <c r="D247" s="14"/>
      <c r="E247" s="14"/>
      <c r="F247" s="43">
        <f aca="true" t="shared" si="21" ref="F247:I249">F248</f>
        <v>0</v>
      </c>
      <c r="G247" s="43">
        <f t="shared" si="21"/>
        <v>0</v>
      </c>
      <c r="H247" s="43">
        <f t="shared" si="21"/>
        <v>0</v>
      </c>
      <c r="I247" s="54">
        <f t="shared" si="21"/>
        <v>0</v>
      </c>
    </row>
    <row r="248" spans="1:9" s="15" customFormat="1" ht="57.75" customHeight="1" hidden="1">
      <c r="A248" s="53" t="s">
        <v>57</v>
      </c>
      <c r="B248" s="13" t="s">
        <v>9</v>
      </c>
      <c r="C248" s="14" t="s">
        <v>8</v>
      </c>
      <c r="D248" s="14" t="s">
        <v>165</v>
      </c>
      <c r="E248" s="14"/>
      <c r="F248" s="43">
        <f t="shared" si="21"/>
        <v>0</v>
      </c>
      <c r="G248" s="43">
        <f t="shared" si="21"/>
        <v>0</v>
      </c>
      <c r="H248" s="43">
        <f t="shared" si="21"/>
        <v>0</v>
      </c>
      <c r="I248" s="54">
        <f t="shared" si="21"/>
        <v>0</v>
      </c>
    </row>
    <row r="249" spans="1:9" s="11" customFormat="1" ht="21.75" customHeight="1" hidden="1">
      <c r="A249" s="60" t="s">
        <v>59</v>
      </c>
      <c r="B249" s="9" t="s">
        <v>9</v>
      </c>
      <c r="C249" s="10" t="s">
        <v>8</v>
      </c>
      <c r="D249" s="10" t="s">
        <v>167</v>
      </c>
      <c r="E249" s="10"/>
      <c r="F249" s="39">
        <f t="shared" si="21"/>
        <v>0</v>
      </c>
      <c r="G249" s="39">
        <f t="shared" si="21"/>
        <v>0</v>
      </c>
      <c r="H249" s="39">
        <f t="shared" si="21"/>
        <v>0</v>
      </c>
      <c r="I249" s="59">
        <f t="shared" si="21"/>
        <v>0</v>
      </c>
    </row>
    <row r="250" spans="1:9" s="30" customFormat="1" ht="42.75" customHeight="1" hidden="1">
      <c r="A250" s="57" t="s">
        <v>124</v>
      </c>
      <c r="B250" s="28" t="s">
        <v>9</v>
      </c>
      <c r="C250" s="29" t="s">
        <v>8</v>
      </c>
      <c r="D250" s="29" t="s">
        <v>167</v>
      </c>
      <c r="E250" s="29" t="s">
        <v>20</v>
      </c>
      <c r="F250" s="35">
        <f>SUM(G250:I250)</f>
        <v>0</v>
      </c>
      <c r="G250" s="35"/>
      <c r="H250" s="35"/>
      <c r="I250" s="61"/>
    </row>
    <row r="251" spans="1:9" s="6" customFormat="1" ht="18.75">
      <c r="A251" s="51" t="s">
        <v>43</v>
      </c>
      <c r="B251" s="45"/>
      <c r="C251" s="46"/>
      <c r="D251" s="46"/>
      <c r="E251" s="46"/>
      <c r="F251" s="47">
        <f>SUM(F252,F270,F306,F310)</f>
        <v>708327.7999999999</v>
      </c>
      <c r="G251" s="47">
        <f>SUM(G252,G270,G306,G310)</f>
        <v>433601.2</v>
      </c>
      <c r="H251" s="47">
        <f>SUM(H252,H270,H306,H310)</f>
        <v>49139.6</v>
      </c>
      <c r="I251" s="52">
        <f>SUM(I252,I270,I306,I310)</f>
        <v>225587</v>
      </c>
    </row>
    <row r="252" spans="1:9" s="15" customFormat="1" ht="27.75" customHeight="1">
      <c r="A252" s="53" t="s">
        <v>44</v>
      </c>
      <c r="B252" s="13" t="s">
        <v>10</v>
      </c>
      <c r="C252" s="14" t="s">
        <v>3</v>
      </c>
      <c r="D252" s="14"/>
      <c r="E252" s="14"/>
      <c r="F252" s="44">
        <f>F253+F256+F267</f>
        <v>261503.8</v>
      </c>
      <c r="G252" s="44">
        <f>G253+G256+G267</f>
        <v>222347.8</v>
      </c>
      <c r="H252" s="44">
        <f>H253+H256+H267</f>
        <v>29051</v>
      </c>
      <c r="I252" s="63">
        <f>I253+I256+I267</f>
        <v>10105</v>
      </c>
    </row>
    <row r="253" spans="1:9" s="15" customFormat="1" ht="41.25" customHeight="1" hidden="1">
      <c r="A253" s="53" t="s">
        <v>71</v>
      </c>
      <c r="B253" s="13" t="s">
        <v>10</v>
      </c>
      <c r="C253" s="14" t="s">
        <v>3</v>
      </c>
      <c r="D253" s="14" t="s">
        <v>194</v>
      </c>
      <c r="E253" s="14"/>
      <c r="F253" s="43">
        <f>F254</f>
        <v>0</v>
      </c>
      <c r="G253" s="43">
        <f aca="true" t="shared" si="22" ref="G253:I254">G254</f>
        <v>0</v>
      </c>
      <c r="H253" s="43">
        <f t="shared" si="22"/>
        <v>0</v>
      </c>
      <c r="I253" s="54">
        <f t="shared" si="22"/>
        <v>0</v>
      </c>
    </row>
    <row r="254" spans="1:9" s="5" customFormat="1" ht="23.25" customHeight="1" hidden="1">
      <c r="A254" s="55" t="s">
        <v>72</v>
      </c>
      <c r="B254" s="4" t="s">
        <v>10</v>
      </c>
      <c r="C254" s="7" t="s">
        <v>3</v>
      </c>
      <c r="D254" s="7" t="s">
        <v>196</v>
      </c>
      <c r="E254" s="7"/>
      <c r="F254" s="39">
        <f>F255</f>
        <v>0</v>
      </c>
      <c r="G254" s="39">
        <f t="shared" si="22"/>
        <v>0</v>
      </c>
      <c r="H254" s="39">
        <f t="shared" si="22"/>
        <v>0</v>
      </c>
      <c r="I254" s="59">
        <f t="shared" si="22"/>
        <v>0</v>
      </c>
    </row>
    <row r="255" spans="1:9" s="30" customFormat="1" ht="18.75" hidden="1">
      <c r="A255" s="62" t="s">
        <v>119</v>
      </c>
      <c r="B255" s="28" t="s">
        <v>10</v>
      </c>
      <c r="C255" s="29" t="s">
        <v>3</v>
      </c>
      <c r="D255" s="29" t="s">
        <v>196</v>
      </c>
      <c r="E255" s="29" t="s">
        <v>24</v>
      </c>
      <c r="F255" s="35">
        <f>SUM(G255:I255)</f>
        <v>0</v>
      </c>
      <c r="G255" s="36"/>
      <c r="H255" s="36"/>
      <c r="I255" s="58"/>
    </row>
    <row r="256" spans="1:9" s="15" customFormat="1" ht="36.75" customHeight="1">
      <c r="A256" s="53" t="s">
        <v>95</v>
      </c>
      <c r="B256" s="13" t="s">
        <v>10</v>
      </c>
      <c r="C256" s="14" t="s">
        <v>3</v>
      </c>
      <c r="D256" s="14" t="s">
        <v>215</v>
      </c>
      <c r="E256" s="14"/>
      <c r="F256" s="43">
        <f>SUM(F257,F259,F261,F263,F265)</f>
        <v>241503.8</v>
      </c>
      <c r="G256" s="43">
        <f>SUM(G257,G259,G261,G263,G265)</f>
        <v>202347.8</v>
      </c>
      <c r="H256" s="43">
        <f>SUM(H257,H259,H261,H263,H265)</f>
        <v>29051</v>
      </c>
      <c r="I256" s="54">
        <f>SUM(I257,I259,I261,I263,I265)</f>
        <v>10105</v>
      </c>
    </row>
    <row r="257" spans="1:9" s="5" customFormat="1" ht="37.5">
      <c r="A257" s="55" t="s">
        <v>79</v>
      </c>
      <c r="B257" s="4" t="s">
        <v>10</v>
      </c>
      <c r="C257" s="7" t="s">
        <v>3</v>
      </c>
      <c r="D257" s="7" t="s">
        <v>216</v>
      </c>
      <c r="E257" s="7"/>
      <c r="F257" s="39">
        <f>F258</f>
        <v>202347.8</v>
      </c>
      <c r="G257" s="39">
        <f>G258</f>
        <v>202347.8</v>
      </c>
      <c r="H257" s="39">
        <f>H258</f>
        <v>0</v>
      </c>
      <c r="I257" s="59">
        <f>I258</f>
        <v>0</v>
      </c>
    </row>
    <row r="258" spans="1:9" s="30" customFormat="1" ht="18.75">
      <c r="A258" s="57" t="s">
        <v>118</v>
      </c>
      <c r="B258" s="28" t="s">
        <v>10</v>
      </c>
      <c r="C258" s="29" t="s">
        <v>3</v>
      </c>
      <c r="D258" s="29" t="s">
        <v>216</v>
      </c>
      <c r="E258" s="29" t="s">
        <v>23</v>
      </c>
      <c r="F258" s="35">
        <f>SUM(G258:I258)</f>
        <v>202347.8</v>
      </c>
      <c r="G258" s="36">
        <f>202694.5-346.7</f>
        <v>202347.8</v>
      </c>
      <c r="H258" s="36"/>
      <c r="I258" s="58"/>
    </row>
    <row r="259" spans="1:9" s="5" customFormat="1" ht="37.5">
      <c r="A259" s="55" t="s">
        <v>314</v>
      </c>
      <c r="B259" s="4" t="s">
        <v>10</v>
      </c>
      <c r="C259" s="7" t="s">
        <v>3</v>
      </c>
      <c r="D259" s="7" t="s">
        <v>217</v>
      </c>
      <c r="E259" s="7"/>
      <c r="F259" s="39">
        <f>F260</f>
        <v>29051</v>
      </c>
      <c r="G259" s="39">
        <f>G260</f>
        <v>0</v>
      </c>
      <c r="H259" s="39">
        <f>H260</f>
        <v>29051</v>
      </c>
      <c r="I259" s="59">
        <f>I260</f>
        <v>0</v>
      </c>
    </row>
    <row r="260" spans="1:9" s="30" customFormat="1" ht="18.75">
      <c r="A260" s="57" t="s">
        <v>118</v>
      </c>
      <c r="B260" s="28" t="s">
        <v>10</v>
      </c>
      <c r="C260" s="29" t="s">
        <v>3</v>
      </c>
      <c r="D260" s="29" t="s">
        <v>217</v>
      </c>
      <c r="E260" s="29" t="s">
        <v>23</v>
      </c>
      <c r="F260" s="35">
        <f>SUM(G260:I260)</f>
        <v>29051</v>
      </c>
      <c r="G260" s="36"/>
      <c r="H260" s="36">
        <v>29051</v>
      </c>
      <c r="I260" s="58"/>
    </row>
    <row r="261" spans="1:9" s="30" customFormat="1" ht="37.5">
      <c r="A261" s="60" t="s">
        <v>315</v>
      </c>
      <c r="B261" s="4" t="s">
        <v>10</v>
      </c>
      <c r="C261" s="7" t="s">
        <v>3</v>
      </c>
      <c r="D261" s="7" t="s">
        <v>305</v>
      </c>
      <c r="E261" s="7"/>
      <c r="F261" s="39">
        <f>F262</f>
        <v>5872</v>
      </c>
      <c r="G261" s="39">
        <f>G262</f>
        <v>0</v>
      </c>
      <c r="H261" s="39">
        <f>H262</f>
        <v>0</v>
      </c>
      <c r="I261" s="59">
        <f>I262</f>
        <v>5872</v>
      </c>
    </row>
    <row r="262" spans="1:9" s="30" customFormat="1" ht="18.75">
      <c r="A262" s="57" t="s">
        <v>118</v>
      </c>
      <c r="B262" s="28" t="s">
        <v>10</v>
      </c>
      <c r="C262" s="29" t="s">
        <v>3</v>
      </c>
      <c r="D262" s="29" t="s">
        <v>305</v>
      </c>
      <c r="E262" s="29" t="s">
        <v>23</v>
      </c>
      <c r="F262" s="35">
        <f>SUM(G262:I262)</f>
        <v>5872</v>
      </c>
      <c r="G262" s="36"/>
      <c r="H262" s="36"/>
      <c r="I262" s="58">
        <v>5872</v>
      </c>
    </row>
    <row r="263" spans="1:9" s="30" customFormat="1" ht="37.5">
      <c r="A263" s="60" t="s">
        <v>316</v>
      </c>
      <c r="B263" s="9" t="s">
        <v>10</v>
      </c>
      <c r="C263" s="10" t="s">
        <v>3</v>
      </c>
      <c r="D263" s="10" t="s">
        <v>292</v>
      </c>
      <c r="E263" s="29"/>
      <c r="F263" s="39">
        <f>F264</f>
        <v>2436</v>
      </c>
      <c r="G263" s="39">
        <f>G264</f>
        <v>0</v>
      </c>
      <c r="H263" s="39">
        <f>H264</f>
        <v>0</v>
      </c>
      <c r="I263" s="59">
        <f>I264</f>
        <v>2436</v>
      </c>
    </row>
    <row r="264" spans="1:9" s="30" customFormat="1" ht="18.75">
      <c r="A264" s="57" t="s">
        <v>118</v>
      </c>
      <c r="B264" s="28" t="s">
        <v>10</v>
      </c>
      <c r="C264" s="29" t="s">
        <v>3</v>
      </c>
      <c r="D264" s="29" t="s">
        <v>292</v>
      </c>
      <c r="E264" s="29" t="s">
        <v>23</v>
      </c>
      <c r="F264" s="35">
        <f>SUM(G264:I264)</f>
        <v>2436</v>
      </c>
      <c r="G264" s="36"/>
      <c r="H264" s="36"/>
      <c r="I264" s="58">
        <v>2436</v>
      </c>
    </row>
    <row r="265" spans="1:9" s="30" customFormat="1" ht="37.5">
      <c r="A265" s="60" t="s">
        <v>317</v>
      </c>
      <c r="B265" s="9" t="s">
        <v>10</v>
      </c>
      <c r="C265" s="10" t="s">
        <v>3</v>
      </c>
      <c r="D265" s="10" t="s">
        <v>293</v>
      </c>
      <c r="E265" s="29"/>
      <c r="F265" s="39">
        <f>F266</f>
        <v>1797</v>
      </c>
      <c r="G265" s="39">
        <f>G266</f>
        <v>0</v>
      </c>
      <c r="H265" s="39">
        <f>H266</f>
        <v>0</v>
      </c>
      <c r="I265" s="59">
        <f>I266</f>
        <v>1797</v>
      </c>
    </row>
    <row r="266" spans="1:9" s="30" customFormat="1" ht="18.75">
      <c r="A266" s="57" t="s">
        <v>118</v>
      </c>
      <c r="B266" s="28" t="s">
        <v>10</v>
      </c>
      <c r="C266" s="29" t="s">
        <v>3</v>
      </c>
      <c r="D266" s="29" t="s">
        <v>293</v>
      </c>
      <c r="E266" s="29" t="s">
        <v>23</v>
      </c>
      <c r="F266" s="35">
        <f>SUM(G266:I266)</f>
        <v>1797</v>
      </c>
      <c r="G266" s="36"/>
      <c r="H266" s="36"/>
      <c r="I266" s="58">
        <v>1797</v>
      </c>
    </row>
    <row r="267" spans="1:9" s="30" customFormat="1" ht="56.25">
      <c r="A267" s="53" t="s">
        <v>157</v>
      </c>
      <c r="B267" s="13" t="s">
        <v>10</v>
      </c>
      <c r="C267" s="14" t="s">
        <v>3</v>
      </c>
      <c r="D267" s="14" t="s">
        <v>214</v>
      </c>
      <c r="E267" s="14"/>
      <c r="F267" s="43">
        <f>F268+F272</f>
        <v>20000</v>
      </c>
      <c r="G267" s="43">
        <f>G268+G272</f>
        <v>20000</v>
      </c>
      <c r="H267" s="43">
        <f>H268+H272</f>
        <v>0</v>
      </c>
      <c r="I267" s="54">
        <f>I268+I272</f>
        <v>0</v>
      </c>
    </row>
    <row r="268" spans="1:9" s="30" customFormat="1" ht="56.25">
      <c r="A268" s="55" t="s">
        <v>399</v>
      </c>
      <c r="B268" s="4" t="s">
        <v>10</v>
      </c>
      <c r="C268" s="7" t="s">
        <v>3</v>
      </c>
      <c r="D268" s="7" t="s">
        <v>333</v>
      </c>
      <c r="E268" s="7"/>
      <c r="F268" s="42">
        <f>F269</f>
        <v>20000</v>
      </c>
      <c r="G268" s="42">
        <f>G269</f>
        <v>20000</v>
      </c>
      <c r="H268" s="42">
        <f>H269</f>
        <v>0</v>
      </c>
      <c r="I268" s="56">
        <f>I269</f>
        <v>0</v>
      </c>
    </row>
    <row r="269" spans="1:9" s="30" customFormat="1" ht="18.75">
      <c r="A269" s="57" t="s">
        <v>119</v>
      </c>
      <c r="B269" s="28" t="s">
        <v>10</v>
      </c>
      <c r="C269" s="29" t="s">
        <v>3</v>
      </c>
      <c r="D269" s="29" t="s">
        <v>333</v>
      </c>
      <c r="E269" s="29" t="s">
        <v>24</v>
      </c>
      <c r="F269" s="35">
        <f>SUM(G269:I269)</f>
        <v>20000</v>
      </c>
      <c r="G269" s="36">
        <v>20000</v>
      </c>
      <c r="H269" s="36"/>
      <c r="I269" s="58"/>
    </row>
    <row r="270" spans="1:9" s="15" customFormat="1" ht="18.75">
      <c r="A270" s="53" t="s">
        <v>45</v>
      </c>
      <c r="B270" s="13" t="s">
        <v>10</v>
      </c>
      <c r="C270" s="14" t="s">
        <v>4</v>
      </c>
      <c r="D270" s="14"/>
      <c r="E270" s="14"/>
      <c r="F270" s="43">
        <f>F271+F274+F283+F290+F299+F303</f>
        <v>429273.39999999997</v>
      </c>
      <c r="G270" s="43">
        <f>G271+G274+G283+G290+G299+G303</f>
        <v>193753.8</v>
      </c>
      <c r="H270" s="43">
        <f>H271+H274+H283+H290+H299+H303</f>
        <v>20037.6</v>
      </c>
      <c r="I270" s="54">
        <f>I271+I274+I283+I290+I299+I303</f>
        <v>215482</v>
      </c>
    </row>
    <row r="271" spans="1:9" s="15" customFormat="1" ht="40.5" customHeight="1" hidden="1">
      <c r="A271" s="53" t="s">
        <v>71</v>
      </c>
      <c r="B271" s="13" t="s">
        <v>10</v>
      </c>
      <c r="C271" s="14" t="s">
        <v>4</v>
      </c>
      <c r="D271" s="14" t="s">
        <v>194</v>
      </c>
      <c r="E271" s="14"/>
      <c r="F271" s="43">
        <f>F272</f>
        <v>0</v>
      </c>
      <c r="G271" s="43">
        <f aca="true" t="shared" si="23" ref="G271:I272">G272</f>
        <v>0</v>
      </c>
      <c r="H271" s="43">
        <f t="shared" si="23"/>
        <v>0</v>
      </c>
      <c r="I271" s="54">
        <f t="shared" si="23"/>
        <v>0</v>
      </c>
    </row>
    <row r="272" spans="1:9" s="5" customFormat="1" ht="24.75" customHeight="1" hidden="1">
      <c r="A272" s="55" t="s">
        <v>72</v>
      </c>
      <c r="B272" s="4" t="s">
        <v>10</v>
      </c>
      <c r="C272" s="7" t="s">
        <v>4</v>
      </c>
      <c r="D272" s="7" t="s">
        <v>196</v>
      </c>
      <c r="E272" s="7"/>
      <c r="F272" s="42">
        <f>F273</f>
        <v>0</v>
      </c>
      <c r="G272" s="42">
        <f t="shared" si="23"/>
        <v>0</v>
      </c>
      <c r="H272" s="42">
        <f t="shared" si="23"/>
        <v>0</v>
      </c>
      <c r="I272" s="56">
        <f t="shared" si="23"/>
        <v>0</v>
      </c>
    </row>
    <row r="273" spans="1:9" s="30" customFormat="1" ht="18.75" hidden="1">
      <c r="A273" s="57" t="s">
        <v>119</v>
      </c>
      <c r="B273" s="28" t="s">
        <v>10</v>
      </c>
      <c r="C273" s="29" t="s">
        <v>4</v>
      </c>
      <c r="D273" s="29" t="s">
        <v>196</v>
      </c>
      <c r="E273" s="29" t="s">
        <v>24</v>
      </c>
      <c r="F273" s="35">
        <f>SUM(G273:I273)</f>
        <v>0</v>
      </c>
      <c r="G273" s="36"/>
      <c r="H273" s="36"/>
      <c r="I273" s="58"/>
    </row>
    <row r="274" spans="1:9" s="15" customFormat="1" ht="37.5">
      <c r="A274" s="53" t="s">
        <v>96</v>
      </c>
      <c r="B274" s="13" t="s">
        <v>10</v>
      </c>
      <c r="C274" s="14" t="s">
        <v>4</v>
      </c>
      <c r="D274" s="14" t="s">
        <v>218</v>
      </c>
      <c r="E274" s="14"/>
      <c r="F274" s="43">
        <f>SUM(F275,F277,F279,F281)</f>
        <v>272252.3</v>
      </c>
      <c r="G274" s="43">
        <f>SUM(G275,G277,G279,G281)</f>
        <v>62100.7</v>
      </c>
      <c r="H274" s="43">
        <f>SUM(H275,H277,H279,H281)</f>
        <v>1358.6</v>
      </c>
      <c r="I274" s="54">
        <f>SUM(I275,I277,I279,I281)</f>
        <v>208793</v>
      </c>
    </row>
    <row r="275" spans="1:9" s="5" customFormat="1" ht="37.5">
      <c r="A275" s="55" t="s">
        <v>79</v>
      </c>
      <c r="B275" s="4" t="s">
        <v>10</v>
      </c>
      <c r="C275" s="7" t="s">
        <v>4</v>
      </c>
      <c r="D275" s="7" t="s">
        <v>219</v>
      </c>
      <c r="E275" s="7"/>
      <c r="F275" s="39">
        <f>F276</f>
        <v>62100.7</v>
      </c>
      <c r="G275" s="39">
        <f>G276</f>
        <v>62100.7</v>
      </c>
      <c r="H275" s="39">
        <f>H276</f>
        <v>0</v>
      </c>
      <c r="I275" s="59">
        <f>I276</f>
        <v>0</v>
      </c>
    </row>
    <row r="276" spans="1:9" s="30" customFormat="1" ht="18.75">
      <c r="A276" s="62" t="s">
        <v>118</v>
      </c>
      <c r="B276" s="28" t="s">
        <v>10</v>
      </c>
      <c r="C276" s="29" t="s">
        <v>4</v>
      </c>
      <c r="D276" s="29" t="s">
        <v>219</v>
      </c>
      <c r="E276" s="29" t="s">
        <v>23</v>
      </c>
      <c r="F276" s="35">
        <f>SUM(G276:I276)</f>
        <v>62100.7</v>
      </c>
      <c r="G276" s="36">
        <f>55537.5+168.2+4000+2230+50+115</f>
        <v>62100.7</v>
      </c>
      <c r="H276" s="36"/>
      <c r="I276" s="58"/>
    </row>
    <row r="277" spans="1:9" s="30" customFormat="1" ht="37.5">
      <c r="A277" s="55" t="s">
        <v>314</v>
      </c>
      <c r="B277" s="9" t="s">
        <v>10</v>
      </c>
      <c r="C277" s="10" t="s">
        <v>4</v>
      </c>
      <c r="D277" s="10" t="s">
        <v>220</v>
      </c>
      <c r="E277" s="10"/>
      <c r="F277" s="39">
        <f>F278</f>
        <v>1358.6</v>
      </c>
      <c r="G277" s="39">
        <f>G278</f>
        <v>0</v>
      </c>
      <c r="H277" s="39">
        <f>H278</f>
        <v>1358.6</v>
      </c>
      <c r="I277" s="59">
        <f>I278</f>
        <v>0</v>
      </c>
    </row>
    <row r="278" spans="1:9" s="30" customFormat="1" ht="18.75">
      <c r="A278" s="62" t="s">
        <v>118</v>
      </c>
      <c r="B278" s="28" t="s">
        <v>10</v>
      </c>
      <c r="C278" s="29" t="s">
        <v>4</v>
      </c>
      <c r="D278" s="29" t="s">
        <v>220</v>
      </c>
      <c r="E278" s="29" t="s">
        <v>23</v>
      </c>
      <c r="F278" s="35">
        <f>SUM(G278:I278)</f>
        <v>1358.6</v>
      </c>
      <c r="G278" s="36"/>
      <c r="H278" s="36">
        <f>661+697.6</f>
        <v>1358.6</v>
      </c>
      <c r="I278" s="58"/>
    </row>
    <row r="279" spans="1:9" s="30" customFormat="1" ht="94.5" customHeight="1">
      <c r="A279" s="68" t="s">
        <v>319</v>
      </c>
      <c r="B279" s="9" t="s">
        <v>10</v>
      </c>
      <c r="C279" s="10" t="s">
        <v>4</v>
      </c>
      <c r="D279" s="10" t="s">
        <v>294</v>
      </c>
      <c r="E279" s="10"/>
      <c r="F279" s="39">
        <f>F280</f>
        <v>206057</v>
      </c>
      <c r="G279" s="39">
        <f>G280</f>
        <v>0</v>
      </c>
      <c r="H279" s="39">
        <f>H280</f>
        <v>0</v>
      </c>
      <c r="I279" s="59">
        <f>I280</f>
        <v>206057</v>
      </c>
    </row>
    <row r="280" spans="1:9" s="30" customFormat="1" ht="18.75">
      <c r="A280" s="69" t="s">
        <v>318</v>
      </c>
      <c r="B280" s="28" t="s">
        <v>10</v>
      </c>
      <c r="C280" s="29" t="s">
        <v>4</v>
      </c>
      <c r="D280" s="29" t="s">
        <v>294</v>
      </c>
      <c r="E280" s="29" t="s">
        <v>23</v>
      </c>
      <c r="F280" s="35">
        <f>SUM(G280:I280)</f>
        <v>206057</v>
      </c>
      <c r="G280" s="36"/>
      <c r="H280" s="36"/>
      <c r="I280" s="58">
        <v>206057</v>
      </c>
    </row>
    <row r="281" spans="1:9" s="30" customFormat="1" ht="37.5">
      <c r="A281" s="60" t="s">
        <v>317</v>
      </c>
      <c r="B281" s="9" t="s">
        <v>10</v>
      </c>
      <c r="C281" s="10" t="s">
        <v>4</v>
      </c>
      <c r="D281" s="10" t="s">
        <v>295</v>
      </c>
      <c r="E281" s="29"/>
      <c r="F281" s="39">
        <f>F282</f>
        <v>2736</v>
      </c>
      <c r="G281" s="39">
        <f>G282</f>
        <v>0</v>
      </c>
      <c r="H281" s="39">
        <f>H282</f>
        <v>0</v>
      </c>
      <c r="I281" s="59">
        <f>I282</f>
        <v>2736</v>
      </c>
    </row>
    <row r="282" spans="1:9" s="30" customFormat="1" ht="18.75">
      <c r="A282" s="69" t="s">
        <v>318</v>
      </c>
      <c r="B282" s="28" t="s">
        <v>10</v>
      </c>
      <c r="C282" s="29" t="s">
        <v>4</v>
      </c>
      <c r="D282" s="29" t="s">
        <v>295</v>
      </c>
      <c r="E282" s="29" t="s">
        <v>23</v>
      </c>
      <c r="F282" s="35">
        <f>SUM(G282:I282)</f>
        <v>2736</v>
      </c>
      <c r="G282" s="36"/>
      <c r="H282" s="36"/>
      <c r="I282" s="58">
        <f>2686+50</f>
        <v>2736</v>
      </c>
    </row>
    <row r="283" spans="1:9" s="15" customFormat="1" ht="18.75">
      <c r="A283" s="53" t="s">
        <v>97</v>
      </c>
      <c r="B283" s="13" t="s">
        <v>10</v>
      </c>
      <c r="C283" s="14" t="s">
        <v>4</v>
      </c>
      <c r="D283" s="14" t="s">
        <v>221</v>
      </c>
      <c r="E283" s="14"/>
      <c r="F283" s="43">
        <f>SUM(F284,F286,F288)</f>
        <v>85144.09999999999</v>
      </c>
      <c r="G283" s="43">
        <f>SUM(G284,G286,G288)</f>
        <v>77175.09999999999</v>
      </c>
      <c r="H283" s="43">
        <f>SUM(H284,H286,H288)</f>
        <v>6469</v>
      </c>
      <c r="I283" s="54">
        <f>SUM(I284,I286,I288)</f>
        <v>1500</v>
      </c>
    </row>
    <row r="284" spans="1:9" s="5" customFormat="1" ht="37.5">
      <c r="A284" s="55" t="s">
        <v>79</v>
      </c>
      <c r="B284" s="4" t="s">
        <v>10</v>
      </c>
      <c r="C284" s="7" t="s">
        <v>4</v>
      </c>
      <c r="D284" s="7" t="s">
        <v>222</v>
      </c>
      <c r="E284" s="7"/>
      <c r="F284" s="39">
        <f>F285</f>
        <v>77175.09999999999</v>
      </c>
      <c r="G284" s="39">
        <f>G285</f>
        <v>77175.09999999999</v>
      </c>
      <c r="H284" s="39">
        <f>H285</f>
        <v>0</v>
      </c>
      <c r="I284" s="59">
        <f>I285</f>
        <v>0</v>
      </c>
    </row>
    <row r="285" spans="1:9" s="30" customFormat="1" ht="18.75">
      <c r="A285" s="57" t="s">
        <v>118</v>
      </c>
      <c r="B285" s="28" t="s">
        <v>10</v>
      </c>
      <c r="C285" s="29" t="s">
        <v>4</v>
      </c>
      <c r="D285" s="29" t="s">
        <v>222</v>
      </c>
      <c r="E285" s="29" t="s">
        <v>23</v>
      </c>
      <c r="F285" s="35">
        <f>SUM(G285:I285)</f>
        <v>77175.09999999999</v>
      </c>
      <c r="G285" s="36">
        <f>43532.2+33376.5-5.8+272.2</f>
        <v>77175.09999999999</v>
      </c>
      <c r="H285" s="36"/>
      <c r="I285" s="58"/>
    </row>
    <row r="286" spans="1:9" s="30" customFormat="1" ht="37.5">
      <c r="A286" s="55" t="s">
        <v>314</v>
      </c>
      <c r="B286" s="9" t="s">
        <v>10</v>
      </c>
      <c r="C286" s="10" t="s">
        <v>4</v>
      </c>
      <c r="D286" s="10" t="s">
        <v>223</v>
      </c>
      <c r="E286" s="10"/>
      <c r="F286" s="39">
        <f>F287</f>
        <v>6469</v>
      </c>
      <c r="G286" s="39">
        <f>G287</f>
        <v>0</v>
      </c>
      <c r="H286" s="39">
        <f>H287</f>
        <v>6469</v>
      </c>
      <c r="I286" s="59">
        <f>I287</f>
        <v>0</v>
      </c>
    </row>
    <row r="287" spans="1:9" s="30" customFormat="1" ht="18.75">
      <c r="A287" s="57" t="s">
        <v>118</v>
      </c>
      <c r="B287" s="28" t="s">
        <v>10</v>
      </c>
      <c r="C287" s="29" t="s">
        <v>4</v>
      </c>
      <c r="D287" s="29" t="s">
        <v>223</v>
      </c>
      <c r="E287" s="29" t="s">
        <v>23</v>
      </c>
      <c r="F287" s="35">
        <f>SUM(G287:I287)</f>
        <v>6469</v>
      </c>
      <c r="G287" s="36"/>
      <c r="H287" s="36">
        <f>4851+1618</f>
        <v>6469</v>
      </c>
      <c r="I287" s="58"/>
    </row>
    <row r="288" spans="1:9" s="30" customFormat="1" ht="37.5">
      <c r="A288" s="60" t="s">
        <v>317</v>
      </c>
      <c r="B288" s="9" t="s">
        <v>10</v>
      </c>
      <c r="C288" s="10" t="s">
        <v>4</v>
      </c>
      <c r="D288" s="10" t="s">
        <v>296</v>
      </c>
      <c r="E288" s="29"/>
      <c r="F288" s="39">
        <f>F289</f>
        <v>1500</v>
      </c>
      <c r="G288" s="39">
        <f>G289</f>
        <v>0</v>
      </c>
      <c r="H288" s="39">
        <f>H289</f>
        <v>0</v>
      </c>
      <c r="I288" s="59">
        <f>I289</f>
        <v>1500</v>
      </c>
    </row>
    <row r="289" spans="1:9" s="30" customFormat="1" ht="18.75">
      <c r="A289" s="69" t="s">
        <v>318</v>
      </c>
      <c r="B289" s="28" t="s">
        <v>10</v>
      </c>
      <c r="C289" s="29" t="s">
        <v>4</v>
      </c>
      <c r="D289" s="29" t="s">
        <v>296</v>
      </c>
      <c r="E289" s="29" t="s">
        <v>23</v>
      </c>
      <c r="F289" s="35">
        <f>SUM(G289:I289)</f>
        <v>1500</v>
      </c>
      <c r="G289" s="36"/>
      <c r="H289" s="36"/>
      <c r="I289" s="58">
        <f>480+1020</f>
        <v>1500</v>
      </c>
    </row>
    <row r="290" spans="1:9" s="15" customFormat="1" ht="19.5" customHeight="1">
      <c r="A290" s="53" t="s">
        <v>100</v>
      </c>
      <c r="B290" s="13" t="s">
        <v>10</v>
      </c>
      <c r="C290" s="14" t="s">
        <v>4</v>
      </c>
      <c r="D290" s="14" t="s">
        <v>228</v>
      </c>
      <c r="E290" s="14"/>
      <c r="F290" s="43">
        <f>SUM(F291,F293,F295,F297)</f>
        <v>41488</v>
      </c>
      <c r="G290" s="43">
        <f>SUM(G291,G293,G295,G297)</f>
        <v>29278</v>
      </c>
      <c r="H290" s="43">
        <f>SUM(H291,H293,H295,H297)</f>
        <v>12210</v>
      </c>
      <c r="I290" s="54">
        <f>SUM(I291,I293,I295,I297)</f>
        <v>0</v>
      </c>
    </row>
    <row r="291" spans="1:9" s="12" customFormat="1" ht="37.5">
      <c r="A291" s="55" t="s">
        <v>274</v>
      </c>
      <c r="B291" s="4" t="s">
        <v>10</v>
      </c>
      <c r="C291" s="7" t="s">
        <v>4</v>
      </c>
      <c r="D291" s="7" t="s">
        <v>275</v>
      </c>
      <c r="E291" s="7"/>
      <c r="F291" s="39">
        <f>F292</f>
        <v>6953</v>
      </c>
      <c r="G291" s="39">
        <f>G292</f>
        <v>6953</v>
      </c>
      <c r="H291" s="39">
        <f>H292</f>
        <v>0</v>
      </c>
      <c r="I291" s="59">
        <f>I292</f>
        <v>0</v>
      </c>
    </row>
    <row r="292" spans="1:9" s="34" customFormat="1" ht="18.75">
      <c r="A292" s="57" t="s">
        <v>118</v>
      </c>
      <c r="B292" s="28" t="s">
        <v>10</v>
      </c>
      <c r="C292" s="29" t="s">
        <v>4</v>
      </c>
      <c r="D292" s="29" t="s">
        <v>275</v>
      </c>
      <c r="E292" s="29" t="s">
        <v>23</v>
      </c>
      <c r="F292" s="35">
        <f>SUM(G292:I292)</f>
        <v>6953</v>
      </c>
      <c r="G292" s="36">
        <v>6953</v>
      </c>
      <c r="H292" s="36"/>
      <c r="I292" s="58"/>
    </row>
    <row r="293" spans="1:9" s="12" customFormat="1" ht="56.25">
      <c r="A293" s="55" t="s">
        <v>320</v>
      </c>
      <c r="B293" s="4" t="s">
        <v>10</v>
      </c>
      <c r="C293" s="7" t="s">
        <v>4</v>
      </c>
      <c r="D293" s="7" t="s">
        <v>297</v>
      </c>
      <c r="E293" s="7"/>
      <c r="F293" s="39">
        <f>F294</f>
        <v>12873</v>
      </c>
      <c r="G293" s="39">
        <f>G294</f>
        <v>12873</v>
      </c>
      <c r="H293" s="39">
        <f>H294</f>
        <v>0</v>
      </c>
      <c r="I293" s="59">
        <f>I294</f>
        <v>0</v>
      </c>
    </row>
    <row r="294" spans="1:9" s="34" customFormat="1" ht="18.75">
      <c r="A294" s="57" t="s">
        <v>118</v>
      </c>
      <c r="B294" s="28" t="s">
        <v>10</v>
      </c>
      <c r="C294" s="29" t="s">
        <v>4</v>
      </c>
      <c r="D294" s="29" t="s">
        <v>297</v>
      </c>
      <c r="E294" s="29" t="s">
        <v>23</v>
      </c>
      <c r="F294" s="35">
        <f>SUM(G294:I294)</f>
        <v>12873</v>
      </c>
      <c r="G294" s="36">
        <f>16967-4094</f>
        <v>12873</v>
      </c>
      <c r="H294" s="36"/>
      <c r="I294" s="58"/>
    </row>
    <row r="295" spans="1:9" s="12" customFormat="1" ht="56.25">
      <c r="A295" s="55" t="s">
        <v>329</v>
      </c>
      <c r="B295" s="4" t="s">
        <v>10</v>
      </c>
      <c r="C295" s="7" t="s">
        <v>4</v>
      </c>
      <c r="D295" s="7" t="s">
        <v>330</v>
      </c>
      <c r="E295" s="7"/>
      <c r="F295" s="39">
        <f>F296</f>
        <v>12210</v>
      </c>
      <c r="G295" s="39">
        <f>G296</f>
        <v>0</v>
      </c>
      <c r="H295" s="39">
        <f>H296</f>
        <v>12210</v>
      </c>
      <c r="I295" s="59">
        <f>I296</f>
        <v>0</v>
      </c>
    </row>
    <row r="296" spans="1:9" s="34" customFormat="1" ht="18.75">
      <c r="A296" s="57" t="s">
        <v>118</v>
      </c>
      <c r="B296" s="28" t="s">
        <v>10</v>
      </c>
      <c r="C296" s="29" t="s">
        <v>4</v>
      </c>
      <c r="D296" s="37" t="s">
        <v>330</v>
      </c>
      <c r="E296" s="29" t="s">
        <v>23</v>
      </c>
      <c r="F296" s="35">
        <f>SUM(G296:I296)</f>
        <v>12210</v>
      </c>
      <c r="G296" s="36"/>
      <c r="H296" s="36">
        <v>12210</v>
      </c>
      <c r="I296" s="58"/>
    </row>
    <row r="297" spans="1:9" s="94" customFormat="1" ht="65.25" customHeight="1">
      <c r="A297" s="60" t="s">
        <v>440</v>
      </c>
      <c r="B297" s="9" t="s">
        <v>10</v>
      </c>
      <c r="C297" s="10" t="s">
        <v>4</v>
      </c>
      <c r="D297" s="10" t="s">
        <v>441</v>
      </c>
      <c r="E297" s="10"/>
      <c r="F297" s="39">
        <f>F298</f>
        <v>9452</v>
      </c>
      <c r="G297" s="39">
        <f>G298</f>
        <v>9452</v>
      </c>
      <c r="H297" s="39">
        <f>H298</f>
        <v>0</v>
      </c>
      <c r="I297" s="59">
        <f>I298</f>
        <v>0</v>
      </c>
    </row>
    <row r="298" spans="1:9" s="34" customFormat="1" ht="18.75">
      <c r="A298" s="62" t="s">
        <v>119</v>
      </c>
      <c r="B298" s="28" t="s">
        <v>10</v>
      </c>
      <c r="C298" s="29" t="s">
        <v>4</v>
      </c>
      <c r="D298" s="37" t="s">
        <v>441</v>
      </c>
      <c r="E298" s="29" t="s">
        <v>24</v>
      </c>
      <c r="F298" s="35">
        <f>SUM(G298:I298)</f>
        <v>9452</v>
      </c>
      <c r="G298" s="36">
        <v>9452</v>
      </c>
      <c r="H298" s="36"/>
      <c r="I298" s="58"/>
    </row>
    <row r="299" spans="1:9" s="15" customFormat="1" ht="19.5" customHeight="1">
      <c r="A299" s="53" t="s">
        <v>132</v>
      </c>
      <c r="B299" s="13" t="s">
        <v>10</v>
      </c>
      <c r="C299" s="14" t="s">
        <v>4</v>
      </c>
      <c r="D299" s="14" t="s">
        <v>224</v>
      </c>
      <c r="E299" s="14"/>
      <c r="F299" s="43">
        <f aca="true" t="shared" si="24" ref="F299:I301">F300</f>
        <v>5189</v>
      </c>
      <c r="G299" s="43">
        <f t="shared" si="24"/>
        <v>0</v>
      </c>
      <c r="H299" s="43">
        <f t="shared" si="24"/>
        <v>0</v>
      </c>
      <c r="I299" s="54">
        <f t="shared" si="24"/>
        <v>5189</v>
      </c>
    </row>
    <row r="300" spans="1:9" s="12" customFormat="1" ht="37.5">
      <c r="A300" s="55" t="s">
        <v>131</v>
      </c>
      <c r="B300" s="4" t="s">
        <v>10</v>
      </c>
      <c r="C300" s="7" t="s">
        <v>4</v>
      </c>
      <c r="D300" s="7" t="s">
        <v>225</v>
      </c>
      <c r="E300" s="7"/>
      <c r="F300" s="39">
        <f>F301</f>
        <v>5189</v>
      </c>
      <c r="G300" s="39">
        <f t="shared" si="24"/>
        <v>0</v>
      </c>
      <c r="H300" s="39">
        <f t="shared" si="24"/>
        <v>0</v>
      </c>
      <c r="I300" s="59">
        <f t="shared" si="24"/>
        <v>5189</v>
      </c>
    </row>
    <row r="301" spans="1:9" s="12" customFormat="1" ht="37.5">
      <c r="A301" s="55" t="s">
        <v>131</v>
      </c>
      <c r="B301" s="4" t="s">
        <v>10</v>
      </c>
      <c r="C301" s="7" t="s">
        <v>4</v>
      </c>
      <c r="D301" s="7" t="s">
        <v>334</v>
      </c>
      <c r="E301" s="7"/>
      <c r="F301" s="39">
        <f>F302</f>
        <v>5189</v>
      </c>
      <c r="G301" s="39">
        <f t="shared" si="24"/>
        <v>0</v>
      </c>
      <c r="H301" s="39">
        <f t="shared" si="24"/>
        <v>0</v>
      </c>
      <c r="I301" s="59">
        <f t="shared" si="24"/>
        <v>5189</v>
      </c>
    </row>
    <row r="302" spans="1:9" s="34" customFormat="1" ht="18.75">
      <c r="A302" s="57" t="s">
        <v>118</v>
      </c>
      <c r="B302" s="28" t="s">
        <v>10</v>
      </c>
      <c r="C302" s="29" t="s">
        <v>4</v>
      </c>
      <c r="D302" s="29" t="s">
        <v>334</v>
      </c>
      <c r="E302" s="29" t="s">
        <v>23</v>
      </c>
      <c r="F302" s="35">
        <f>SUM(G302:I302)</f>
        <v>5189</v>
      </c>
      <c r="G302" s="36"/>
      <c r="H302" s="36"/>
      <c r="I302" s="58">
        <f>5441-252</f>
        <v>5189</v>
      </c>
    </row>
    <row r="303" spans="1:9" s="34" customFormat="1" ht="18.75">
      <c r="A303" s="53" t="s">
        <v>392</v>
      </c>
      <c r="B303" s="13" t="s">
        <v>10</v>
      </c>
      <c r="C303" s="14" t="s">
        <v>4</v>
      </c>
      <c r="D303" s="14" t="s">
        <v>201</v>
      </c>
      <c r="E303" s="7"/>
      <c r="F303" s="39">
        <f>F304</f>
        <v>25200</v>
      </c>
      <c r="G303" s="39">
        <f aca="true" t="shared" si="25" ref="G303:I304">G304</f>
        <v>25200</v>
      </c>
      <c r="H303" s="39">
        <f t="shared" si="25"/>
        <v>0</v>
      </c>
      <c r="I303" s="59">
        <f t="shared" si="25"/>
        <v>0</v>
      </c>
    </row>
    <row r="304" spans="1:9" s="34" customFormat="1" ht="56.25">
      <c r="A304" s="79" t="s">
        <v>395</v>
      </c>
      <c r="B304" s="4" t="s">
        <v>10</v>
      </c>
      <c r="C304" s="7" t="s">
        <v>4</v>
      </c>
      <c r="D304" s="7" t="s">
        <v>396</v>
      </c>
      <c r="E304" s="7"/>
      <c r="F304" s="39">
        <f>F305</f>
        <v>25200</v>
      </c>
      <c r="G304" s="39">
        <f t="shared" si="25"/>
        <v>25200</v>
      </c>
      <c r="H304" s="39">
        <f t="shared" si="25"/>
        <v>0</v>
      </c>
      <c r="I304" s="59">
        <f t="shared" si="25"/>
        <v>0</v>
      </c>
    </row>
    <row r="305" spans="1:9" s="34" customFormat="1" ht="18.75">
      <c r="A305" s="62" t="s">
        <v>119</v>
      </c>
      <c r="B305" s="28" t="s">
        <v>10</v>
      </c>
      <c r="C305" s="29" t="s">
        <v>4</v>
      </c>
      <c r="D305" s="29" t="s">
        <v>396</v>
      </c>
      <c r="E305" s="29" t="s">
        <v>24</v>
      </c>
      <c r="F305" s="35">
        <f>SUM(G305:I305)</f>
        <v>25200</v>
      </c>
      <c r="G305" s="36">
        <f>21000+4200</f>
        <v>25200</v>
      </c>
      <c r="H305" s="36"/>
      <c r="I305" s="58"/>
    </row>
    <row r="306" spans="1:9" s="15" customFormat="1" ht="18.75">
      <c r="A306" s="53" t="s">
        <v>46</v>
      </c>
      <c r="B306" s="13" t="s">
        <v>10</v>
      </c>
      <c r="C306" s="14" t="s">
        <v>10</v>
      </c>
      <c r="D306" s="14"/>
      <c r="E306" s="14"/>
      <c r="F306" s="43">
        <f aca="true" t="shared" si="26" ref="F306:I308">F307</f>
        <v>2506.7</v>
      </c>
      <c r="G306" s="43">
        <f t="shared" si="26"/>
        <v>2506.7</v>
      </c>
      <c r="H306" s="43">
        <f t="shared" si="26"/>
        <v>0</v>
      </c>
      <c r="I306" s="54">
        <f t="shared" si="26"/>
        <v>0</v>
      </c>
    </row>
    <row r="307" spans="1:9" s="15" customFormat="1" ht="18.75" customHeight="1">
      <c r="A307" s="53" t="s">
        <v>98</v>
      </c>
      <c r="B307" s="13" t="s">
        <v>10</v>
      </c>
      <c r="C307" s="14" t="s">
        <v>10</v>
      </c>
      <c r="D307" s="14" t="s">
        <v>226</v>
      </c>
      <c r="E307" s="14"/>
      <c r="F307" s="43">
        <f t="shared" si="26"/>
        <v>2506.7</v>
      </c>
      <c r="G307" s="43">
        <f t="shared" si="26"/>
        <v>2506.7</v>
      </c>
      <c r="H307" s="43">
        <f t="shared" si="26"/>
        <v>0</v>
      </c>
      <c r="I307" s="54">
        <f t="shared" si="26"/>
        <v>0</v>
      </c>
    </row>
    <row r="308" spans="1:9" s="5" customFormat="1" ht="23.25" customHeight="1">
      <c r="A308" s="55" t="s">
        <v>99</v>
      </c>
      <c r="B308" s="4" t="s">
        <v>10</v>
      </c>
      <c r="C308" s="7" t="s">
        <v>10</v>
      </c>
      <c r="D308" s="7" t="s">
        <v>227</v>
      </c>
      <c r="E308" s="7"/>
      <c r="F308" s="42">
        <f t="shared" si="26"/>
        <v>2506.7</v>
      </c>
      <c r="G308" s="42">
        <f t="shared" si="26"/>
        <v>2506.7</v>
      </c>
      <c r="H308" s="42">
        <f t="shared" si="26"/>
        <v>0</v>
      </c>
      <c r="I308" s="56">
        <f t="shared" si="26"/>
        <v>0</v>
      </c>
    </row>
    <row r="309" spans="1:9" s="30" customFormat="1" ht="37.5">
      <c r="A309" s="57" t="s">
        <v>124</v>
      </c>
      <c r="B309" s="28" t="s">
        <v>10</v>
      </c>
      <c r="C309" s="29" t="s">
        <v>10</v>
      </c>
      <c r="D309" s="29" t="s">
        <v>227</v>
      </c>
      <c r="E309" s="29" t="s">
        <v>20</v>
      </c>
      <c r="F309" s="35">
        <f>SUM(G309:I309)</f>
        <v>2506.7</v>
      </c>
      <c r="G309" s="36">
        <f>706.7+1800</f>
        <v>2506.7</v>
      </c>
      <c r="H309" s="36"/>
      <c r="I309" s="58"/>
    </row>
    <row r="310" spans="1:9" s="15" customFormat="1" ht="18.75">
      <c r="A310" s="53" t="s">
        <v>47</v>
      </c>
      <c r="B310" s="13" t="s">
        <v>10</v>
      </c>
      <c r="C310" s="14" t="s">
        <v>12</v>
      </c>
      <c r="D310" s="14"/>
      <c r="E310" s="14"/>
      <c r="F310" s="43">
        <f>SUM(F311,F314,F317,F322,F325,F328)</f>
        <v>15043.900000000001</v>
      </c>
      <c r="G310" s="43">
        <f>SUM(G311,G314,G317,G322,G325,G328)</f>
        <v>14992.900000000001</v>
      </c>
      <c r="H310" s="43">
        <f>SUM(H311,H314,H317,H322,H325,H328)</f>
        <v>51</v>
      </c>
      <c r="I310" s="54">
        <f>SUM(I311,I314,I317,I322,I325,I328)</f>
        <v>0</v>
      </c>
    </row>
    <row r="311" spans="1:9" s="15" customFormat="1" ht="75">
      <c r="A311" s="53" t="s">
        <v>391</v>
      </c>
      <c r="B311" s="13" t="s">
        <v>10</v>
      </c>
      <c r="C311" s="14" t="s">
        <v>12</v>
      </c>
      <c r="D311" s="14" t="s">
        <v>165</v>
      </c>
      <c r="E311" s="14"/>
      <c r="F311" s="43">
        <f aca="true" t="shared" si="27" ref="F311:I318">F312</f>
        <v>2312.2</v>
      </c>
      <c r="G311" s="43">
        <f t="shared" si="27"/>
        <v>2312.2</v>
      </c>
      <c r="H311" s="43">
        <f t="shared" si="27"/>
        <v>0</v>
      </c>
      <c r="I311" s="54">
        <f t="shared" si="27"/>
        <v>0</v>
      </c>
    </row>
    <row r="312" spans="1:9" s="5" customFormat="1" ht="18.75">
      <c r="A312" s="55" t="s">
        <v>59</v>
      </c>
      <c r="B312" s="4" t="s">
        <v>10</v>
      </c>
      <c r="C312" s="7" t="s">
        <v>12</v>
      </c>
      <c r="D312" s="7" t="s">
        <v>167</v>
      </c>
      <c r="E312" s="7"/>
      <c r="F312" s="42">
        <f t="shared" si="27"/>
        <v>2312.2</v>
      </c>
      <c r="G312" s="42">
        <f t="shared" si="27"/>
        <v>2312.2</v>
      </c>
      <c r="H312" s="42">
        <f t="shared" si="27"/>
        <v>0</v>
      </c>
      <c r="I312" s="56">
        <f t="shared" si="27"/>
        <v>0</v>
      </c>
    </row>
    <row r="313" spans="1:9" s="30" customFormat="1" ht="37.5">
      <c r="A313" s="57" t="s">
        <v>124</v>
      </c>
      <c r="B313" s="28" t="s">
        <v>10</v>
      </c>
      <c r="C313" s="29" t="s">
        <v>12</v>
      </c>
      <c r="D313" s="29" t="s">
        <v>167</v>
      </c>
      <c r="E313" s="29" t="s">
        <v>20</v>
      </c>
      <c r="F313" s="35">
        <f>SUM(G313:I313)</f>
        <v>2312.2</v>
      </c>
      <c r="G313" s="36">
        <f>2241.3+6.7+64.2</f>
        <v>2312.2</v>
      </c>
      <c r="H313" s="36"/>
      <c r="I313" s="58"/>
    </row>
    <row r="314" spans="1:9" s="15" customFormat="1" ht="18.75" hidden="1">
      <c r="A314" s="65" t="s">
        <v>100</v>
      </c>
      <c r="B314" s="13" t="s">
        <v>10</v>
      </c>
      <c r="C314" s="14" t="s">
        <v>12</v>
      </c>
      <c r="D314" s="14" t="s">
        <v>228</v>
      </c>
      <c r="E314" s="14"/>
      <c r="F314" s="43">
        <f t="shared" si="27"/>
        <v>0</v>
      </c>
      <c r="G314" s="43">
        <f t="shared" si="27"/>
        <v>0</v>
      </c>
      <c r="H314" s="43">
        <f t="shared" si="27"/>
        <v>0</v>
      </c>
      <c r="I314" s="54">
        <f t="shared" si="27"/>
        <v>0</v>
      </c>
    </row>
    <row r="315" spans="1:9" s="5" customFormat="1" ht="21.75" customHeight="1" hidden="1">
      <c r="A315" s="66" t="s">
        <v>159</v>
      </c>
      <c r="B315" s="4" t="s">
        <v>10</v>
      </c>
      <c r="C315" s="7" t="s">
        <v>12</v>
      </c>
      <c r="D315" s="7" t="s">
        <v>352</v>
      </c>
      <c r="E315" s="7"/>
      <c r="F315" s="42">
        <f t="shared" si="27"/>
        <v>0</v>
      </c>
      <c r="G315" s="42">
        <f t="shared" si="27"/>
        <v>0</v>
      </c>
      <c r="H315" s="42">
        <f t="shared" si="27"/>
        <v>0</v>
      </c>
      <c r="I315" s="56">
        <f t="shared" si="27"/>
        <v>0</v>
      </c>
    </row>
    <row r="316" spans="1:9" s="30" customFormat="1" ht="18.75" hidden="1">
      <c r="A316" s="62" t="s">
        <v>118</v>
      </c>
      <c r="B316" s="28" t="s">
        <v>10</v>
      </c>
      <c r="C316" s="29" t="s">
        <v>12</v>
      </c>
      <c r="D316" s="29" t="s">
        <v>352</v>
      </c>
      <c r="E316" s="29" t="s">
        <v>23</v>
      </c>
      <c r="F316" s="35">
        <f>SUM(G316:I316)</f>
        <v>0</v>
      </c>
      <c r="G316" s="36"/>
      <c r="H316" s="36"/>
      <c r="I316" s="58"/>
    </row>
    <row r="317" spans="1:9" s="15" customFormat="1" ht="74.25" customHeight="1">
      <c r="A317" s="65" t="s">
        <v>101</v>
      </c>
      <c r="B317" s="13" t="s">
        <v>10</v>
      </c>
      <c r="C317" s="14" t="s">
        <v>12</v>
      </c>
      <c r="D317" s="14" t="s">
        <v>229</v>
      </c>
      <c r="E317" s="14"/>
      <c r="F317" s="43">
        <f>SUM(F318,F320)</f>
        <v>12351.7</v>
      </c>
      <c r="G317" s="43">
        <f>SUM(G318,G320)</f>
        <v>12300.7</v>
      </c>
      <c r="H317" s="43">
        <f>SUM(H318,H320)</f>
        <v>51</v>
      </c>
      <c r="I317" s="54">
        <f>SUM(I318,I320)</f>
        <v>0</v>
      </c>
    </row>
    <row r="318" spans="1:9" s="5" customFormat="1" ht="37.5">
      <c r="A318" s="66" t="s">
        <v>79</v>
      </c>
      <c r="B318" s="4" t="s">
        <v>10</v>
      </c>
      <c r="C318" s="7" t="s">
        <v>12</v>
      </c>
      <c r="D318" s="7" t="s">
        <v>230</v>
      </c>
      <c r="E318" s="7"/>
      <c r="F318" s="42">
        <f>F319</f>
        <v>12300.7</v>
      </c>
      <c r="G318" s="42">
        <f t="shared" si="27"/>
        <v>12300.7</v>
      </c>
      <c r="H318" s="42">
        <f t="shared" si="27"/>
        <v>0</v>
      </c>
      <c r="I318" s="56">
        <f t="shared" si="27"/>
        <v>0</v>
      </c>
    </row>
    <row r="319" spans="1:9" s="30" customFormat="1" ht="18.75">
      <c r="A319" s="62" t="s">
        <v>118</v>
      </c>
      <c r="B319" s="28" t="s">
        <v>10</v>
      </c>
      <c r="C319" s="29" t="s">
        <v>12</v>
      </c>
      <c r="D319" s="29" t="s">
        <v>230</v>
      </c>
      <c r="E319" s="29" t="s">
        <v>23</v>
      </c>
      <c r="F319" s="35">
        <f>SUM(G319:I319)</f>
        <v>12300.7</v>
      </c>
      <c r="G319" s="36">
        <f>11960.7+340</f>
        <v>12300.7</v>
      </c>
      <c r="H319" s="36"/>
      <c r="I319" s="58"/>
    </row>
    <row r="320" spans="1:9" s="30" customFormat="1" ht="37.5">
      <c r="A320" s="55" t="s">
        <v>314</v>
      </c>
      <c r="B320" s="9" t="s">
        <v>10</v>
      </c>
      <c r="C320" s="10" t="s">
        <v>12</v>
      </c>
      <c r="D320" s="10" t="s">
        <v>231</v>
      </c>
      <c r="E320" s="10"/>
      <c r="F320" s="39">
        <f>F321</f>
        <v>51</v>
      </c>
      <c r="G320" s="39">
        <f>G321</f>
        <v>0</v>
      </c>
      <c r="H320" s="39">
        <f>H321</f>
        <v>51</v>
      </c>
      <c r="I320" s="59">
        <f>I321</f>
        <v>0</v>
      </c>
    </row>
    <row r="321" spans="1:9" s="30" customFormat="1" ht="18.75">
      <c r="A321" s="62" t="s">
        <v>118</v>
      </c>
      <c r="B321" s="28" t="s">
        <v>10</v>
      </c>
      <c r="C321" s="29" t="s">
        <v>12</v>
      </c>
      <c r="D321" s="29" t="s">
        <v>231</v>
      </c>
      <c r="E321" s="29" t="s">
        <v>23</v>
      </c>
      <c r="F321" s="35">
        <f>SUM(G321:I321)</f>
        <v>51</v>
      </c>
      <c r="G321" s="36"/>
      <c r="H321" s="36">
        <v>51</v>
      </c>
      <c r="I321" s="58"/>
    </row>
    <row r="322" spans="1:9" s="15" customFormat="1" ht="44.25" customHeight="1">
      <c r="A322" s="53" t="s">
        <v>382</v>
      </c>
      <c r="B322" s="13" t="s">
        <v>10</v>
      </c>
      <c r="C322" s="14" t="s">
        <v>12</v>
      </c>
      <c r="D322" s="14" t="s">
        <v>206</v>
      </c>
      <c r="E322" s="14"/>
      <c r="F322" s="43">
        <f aca="true" t="shared" si="28" ref="F322:I326">SUM(F323)</f>
        <v>380</v>
      </c>
      <c r="G322" s="43">
        <f t="shared" si="28"/>
        <v>380</v>
      </c>
      <c r="H322" s="43">
        <f t="shared" si="28"/>
        <v>0</v>
      </c>
      <c r="I322" s="54">
        <f t="shared" si="28"/>
        <v>0</v>
      </c>
    </row>
    <row r="323" spans="1:9" s="5" customFormat="1" ht="75">
      <c r="A323" s="87" t="s">
        <v>405</v>
      </c>
      <c r="B323" s="4" t="s">
        <v>10</v>
      </c>
      <c r="C323" s="7" t="s">
        <v>12</v>
      </c>
      <c r="D323" s="7" t="s">
        <v>406</v>
      </c>
      <c r="E323" s="7"/>
      <c r="F323" s="39">
        <f>F324</f>
        <v>380</v>
      </c>
      <c r="G323" s="39">
        <f>G324</f>
        <v>380</v>
      </c>
      <c r="H323" s="39">
        <f>H324</f>
        <v>0</v>
      </c>
      <c r="I323" s="59">
        <f>I324</f>
        <v>0</v>
      </c>
    </row>
    <row r="324" spans="1:9" s="30" customFormat="1" ht="37.5">
      <c r="A324" s="57" t="s">
        <v>124</v>
      </c>
      <c r="B324" s="28" t="s">
        <v>10</v>
      </c>
      <c r="C324" s="29" t="s">
        <v>12</v>
      </c>
      <c r="D324" s="29" t="s">
        <v>406</v>
      </c>
      <c r="E324" s="29" t="s">
        <v>20</v>
      </c>
      <c r="F324" s="35">
        <f>SUM(G324:I324)</f>
        <v>380</v>
      </c>
      <c r="G324" s="36">
        <v>380</v>
      </c>
      <c r="H324" s="36"/>
      <c r="I324" s="58"/>
    </row>
    <row r="325" spans="1:9" s="15" customFormat="1" ht="18.75" hidden="1">
      <c r="A325" s="53" t="s">
        <v>130</v>
      </c>
      <c r="B325" s="13" t="s">
        <v>10</v>
      </c>
      <c r="C325" s="14" t="s">
        <v>12</v>
      </c>
      <c r="D325" s="14" t="s">
        <v>201</v>
      </c>
      <c r="E325" s="14"/>
      <c r="F325" s="43">
        <f t="shared" si="28"/>
        <v>0</v>
      </c>
      <c r="G325" s="43">
        <f t="shared" si="28"/>
        <v>0</v>
      </c>
      <c r="H325" s="43">
        <f t="shared" si="28"/>
        <v>0</v>
      </c>
      <c r="I325" s="54">
        <f t="shared" si="28"/>
        <v>0</v>
      </c>
    </row>
    <row r="326" spans="1:9" s="5" customFormat="1" ht="37.5" hidden="1">
      <c r="A326" s="55" t="s">
        <v>347</v>
      </c>
      <c r="B326" s="4" t="s">
        <v>10</v>
      </c>
      <c r="C326" s="7" t="s">
        <v>12</v>
      </c>
      <c r="D326" s="7" t="s">
        <v>348</v>
      </c>
      <c r="E326" s="7"/>
      <c r="F326" s="42">
        <f t="shared" si="28"/>
        <v>0</v>
      </c>
      <c r="G326" s="42">
        <f t="shared" si="28"/>
        <v>0</v>
      </c>
      <c r="H326" s="42">
        <f t="shared" si="28"/>
        <v>0</v>
      </c>
      <c r="I326" s="56">
        <f t="shared" si="28"/>
        <v>0</v>
      </c>
    </row>
    <row r="327" spans="1:9" s="30" customFormat="1" ht="18.75" hidden="1">
      <c r="A327" s="57" t="s">
        <v>153</v>
      </c>
      <c r="B327" s="28" t="s">
        <v>10</v>
      </c>
      <c r="C327" s="29" t="s">
        <v>12</v>
      </c>
      <c r="D327" s="29" t="s">
        <v>348</v>
      </c>
      <c r="E327" s="29" t="s">
        <v>152</v>
      </c>
      <c r="F327" s="35">
        <f>SUM(G327:I327)</f>
        <v>0</v>
      </c>
      <c r="G327" s="36"/>
      <c r="H327" s="36"/>
      <c r="I327" s="58"/>
    </row>
    <row r="328" spans="1:9" s="15" customFormat="1" ht="62.25" customHeight="1" hidden="1">
      <c r="A328" s="53" t="s">
        <v>157</v>
      </c>
      <c r="B328" s="13" t="s">
        <v>10</v>
      </c>
      <c r="C328" s="14" t="s">
        <v>12</v>
      </c>
      <c r="D328" s="14" t="s">
        <v>214</v>
      </c>
      <c r="E328" s="14"/>
      <c r="F328" s="43">
        <f aca="true" t="shared" si="29" ref="F328:I329">SUM(F329)</f>
        <v>0</v>
      </c>
      <c r="G328" s="43">
        <f t="shared" si="29"/>
        <v>0</v>
      </c>
      <c r="H328" s="43">
        <f t="shared" si="29"/>
        <v>0</v>
      </c>
      <c r="I328" s="54">
        <f t="shared" si="29"/>
        <v>0</v>
      </c>
    </row>
    <row r="329" spans="1:9" s="5" customFormat="1" ht="23.25" customHeight="1" hidden="1">
      <c r="A329" s="55" t="s">
        <v>158</v>
      </c>
      <c r="B329" s="4" t="s">
        <v>10</v>
      </c>
      <c r="C329" s="7" t="s">
        <v>12</v>
      </c>
      <c r="D329" s="7" t="s">
        <v>333</v>
      </c>
      <c r="E329" s="7"/>
      <c r="F329" s="42">
        <f t="shared" si="29"/>
        <v>0</v>
      </c>
      <c r="G329" s="42">
        <f t="shared" si="29"/>
        <v>0</v>
      </c>
      <c r="H329" s="42">
        <f t="shared" si="29"/>
        <v>0</v>
      </c>
      <c r="I329" s="56">
        <f t="shared" si="29"/>
        <v>0</v>
      </c>
    </row>
    <row r="330" spans="1:9" s="30" customFormat="1" ht="18.75" hidden="1">
      <c r="A330" s="57" t="s">
        <v>119</v>
      </c>
      <c r="B330" s="28" t="s">
        <v>10</v>
      </c>
      <c r="C330" s="29" t="s">
        <v>12</v>
      </c>
      <c r="D330" s="29" t="s">
        <v>333</v>
      </c>
      <c r="E330" s="29" t="s">
        <v>24</v>
      </c>
      <c r="F330" s="35">
        <f>SUM(G330:I330)</f>
        <v>0</v>
      </c>
      <c r="G330" s="36"/>
      <c r="H330" s="36"/>
      <c r="I330" s="58"/>
    </row>
    <row r="331" spans="1:9" s="6" customFormat="1" ht="37.5">
      <c r="A331" s="51" t="s">
        <v>48</v>
      </c>
      <c r="B331" s="45"/>
      <c r="C331" s="46"/>
      <c r="D331" s="46"/>
      <c r="E331" s="46"/>
      <c r="F331" s="47">
        <f>SUM(F332,F366)</f>
        <v>107694</v>
      </c>
      <c r="G331" s="47">
        <f>SUM(G332,G366)</f>
        <v>101493</v>
      </c>
      <c r="H331" s="47">
        <f>SUM(H332,H366)</f>
        <v>5918</v>
      </c>
      <c r="I331" s="52">
        <f>SUM(I332,I366)</f>
        <v>283</v>
      </c>
    </row>
    <row r="332" spans="1:9" s="15" customFormat="1" ht="18.75">
      <c r="A332" s="64" t="s">
        <v>49</v>
      </c>
      <c r="B332" s="16" t="s">
        <v>13</v>
      </c>
      <c r="C332" s="17" t="s">
        <v>3</v>
      </c>
      <c r="D332" s="17"/>
      <c r="E332" s="17"/>
      <c r="F332" s="44">
        <f>SUM(F333,F338,F343,F348,F353,F360,F363)</f>
        <v>74577.8</v>
      </c>
      <c r="G332" s="44">
        <f>SUM(G333,G338,G343,G348,G353,G360,G363)</f>
        <v>68588.90000000001</v>
      </c>
      <c r="H332" s="44">
        <f>SUM(H333,H338,H343,H348,H353,H360,H363)</f>
        <v>5705.9</v>
      </c>
      <c r="I332" s="63">
        <f>SUM(I333,I338,I343,I348,I353,I360,I363)</f>
        <v>283</v>
      </c>
    </row>
    <row r="333" spans="1:9" s="15" customFormat="1" ht="37.5">
      <c r="A333" s="53" t="s">
        <v>102</v>
      </c>
      <c r="B333" s="13" t="s">
        <v>13</v>
      </c>
      <c r="C333" s="14" t="s">
        <v>3</v>
      </c>
      <c r="D333" s="14" t="s">
        <v>232</v>
      </c>
      <c r="E333" s="14"/>
      <c r="F333" s="43">
        <f>SUM(F334,F336)</f>
        <v>34224.2</v>
      </c>
      <c r="G333" s="43">
        <f>SUM(G334,G336)</f>
        <v>30945.2</v>
      </c>
      <c r="H333" s="43">
        <f>SUM(H334,H336)</f>
        <v>3279</v>
      </c>
      <c r="I333" s="54">
        <f>SUM(I334,I336)</f>
        <v>0</v>
      </c>
    </row>
    <row r="334" spans="1:9" s="5" customFormat="1" ht="37.5">
      <c r="A334" s="55" t="s">
        <v>79</v>
      </c>
      <c r="B334" s="4" t="s">
        <v>13</v>
      </c>
      <c r="C334" s="7" t="s">
        <v>3</v>
      </c>
      <c r="D334" s="7" t="s">
        <v>233</v>
      </c>
      <c r="E334" s="7"/>
      <c r="F334" s="39">
        <f>F335</f>
        <v>30945.2</v>
      </c>
      <c r="G334" s="39">
        <f>G335</f>
        <v>30945.2</v>
      </c>
      <c r="H334" s="39">
        <f>H335</f>
        <v>0</v>
      </c>
      <c r="I334" s="59">
        <f>I335</f>
        <v>0</v>
      </c>
    </row>
    <row r="335" spans="1:9" s="30" customFormat="1" ht="18.75">
      <c r="A335" s="57" t="s">
        <v>118</v>
      </c>
      <c r="B335" s="28" t="s">
        <v>13</v>
      </c>
      <c r="C335" s="29" t="s">
        <v>3</v>
      </c>
      <c r="D335" s="29" t="s">
        <v>233</v>
      </c>
      <c r="E335" s="29" t="s">
        <v>23</v>
      </c>
      <c r="F335" s="35">
        <f>SUM(G335:I335)</f>
        <v>30945.2</v>
      </c>
      <c r="G335" s="36">
        <f>3792.4+13047.3+12517.5+235+734.8+261+950-589.6-3.2</f>
        <v>30945.2</v>
      </c>
      <c r="H335" s="36"/>
      <c r="I335" s="58"/>
    </row>
    <row r="336" spans="1:9" s="30" customFormat="1" ht="37.5">
      <c r="A336" s="55" t="s">
        <v>314</v>
      </c>
      <c r="B336" s="28" t="s">
        <v>13</v>
      </c>
      <c r="C336" s="29" t="s">
        <v>3</v>
      </c>
      <c r="D336" s="29" t="s">
        <v>234</v>
      </c>
      <c r="E336" s="29"/>
      <c r="F336" s="39">
        <f>F337</f>
        <v>3279</v>
      </c>
      <c r="G336" s="39">
        <f>G337</f>
        <v>0</v>
      </c>
      <c r="H336" s="39">
        <f>H337</f>
        <v>3279</v>
      </c>
      <c r="I336" s="59">
        <f>I337</f>
        <v>0</v>
      </c>
    </row>
    <row r="337" spans="1:9" s="30" customFormat="1" ht="18.75">
      <c r="A337" s="57" t="s">
        <v>118</v>
      </c>
      <c r="B337" s="28" t="s">
        <v>13</v>
      </c>
      <c r="C337" s="29" t="s">
        <v>3</v>
      </c>
      <c r="D337" s="29" t="s">
        <v>234</v>
      </c>
      <c r="E337" s="29" t="s">
        <v>23</v>
      </c>
      <c r="F337" s="35">
        <f>SUM(G337:I337)</f>
        <v>3279</v>
      </c>
      <c r="G337" s="36"/>
      <c r="H337" s="36">
        <f>1200+1379+700</f>
        <v>3279</v>
      </c>
      <c r="I337" s="58"/>
    </row>
    <row r="338" spans="1:9" s="15" customFormat="1" ht="18.75">
      <c r="A338" s="53" t="s">
        <v>145</v>
      </c>
      <c r="B338" s="13" t="s">
        <v>13</v>
      </c>
      <c r="C338" s="14" t="s">
        <v>3</v>
      </c>
      <c r="D338" s="14" t="s">
        <v>235</v>
      </c>
      <c r="E338" s="14"/>
      <c r="F338" s="43">
        <f>SUM(F339,F341)</f>
        <v>5897.3</v>
      </c>
      <c r="G338" s="43">
        <f>SUM(G339,G341)</f>
        <v>5686.2</v>
      </c>
      <c r="H338" s="43">
        <f>SUM(H339,H341)</f>
        <v>211.1</v>
      </c>
      <c r="I338" s="54">
        <f>SUM(I339,I341)</f>
        <v>0</v>
      </c>
    </row>
    <row r="339" spans="1:9" s="5" customFormat="1" ht="37.5">
      <c r="A339" s="55" t="s">
        <v>79</v>
      </c>
      <c r="B339" s="4" t="s">
        <v>13</v>
      </c>
      <c r="C339" s="7" t="s">
        <v>3</v>
      </c>
      <c r="D339" s="7" t="s">
        <v>236</v>
      </c>
      <c r="E339" s="7"/>
      <c r="F339" s="39">
        <f>F340</f>
        <v>5686.2</v>
      </c>
      <c r="G339" s="39">
        <f>G340</f>
        <v>5686.2</v>
      </c>
      <c r="H339" s="39">
        <f>H340</f>
        <v>0</v>
      </c>
      <c r="I339" s="59">
        <f>I340</f>
        <v>0</v>
      </c>
    </row>
    <row r="340" spans="1:9" s="30" customFormat="1" ht="18.75">
      <c r="A340" s="57" t="s">
        <v>118</v>
      </c>
      <c r="B340" s="28" t="s">
        <v>13</v>
      </c>
      <c r="C340" s="29" t="s">
        <v>3</v>
      </c>
      <c r="D340" s="29" t="s">
        <v>236</v>
      </c>
      <c r="E340" s="29" t="s">
        <v>23</v>
      </c>
      <c r="F340" s="35">
        <f>SUM(G340:I340)</f>
        <v>5686.2</v>
      </c>
      <c r="G340" s="36">
        <f>4278+398-353.5-88+1500-48.3</f>
        <v>5686.2</v>
      </c>
      <c r="H340" s="36"/>
      <c r="I340" s="58"/>
    </row>
    <row r="341" spans="1:9" s="30" customFormat="1" ht="37.5">
      <c r="A341" s="55" t="s">
        <v>314</v>
      </c>
      <c r="B341" s="28" t="s">
        <v>13</v>
      </c>
      <c r="C341" s="29" t="s">
        <v>3</v>
      </c>
      <c r="D341" s="29" t="s">
        <v>237</v>
      </c>
      <c r="E341" s="29"/>
      <c r="F341" s="39">
        <f>F342</f>
        <v>211.1</v>
      </c>
      <c r="G341" s="39">
        <f>G342</f>
        <v>0</v>
      </c>
      <c r="H341" s="39">
        <f>H342</f>
        <v>211.1</v>
      </c>
      <c r="I341" s="59">
        <f>I342</f>
        <v>0</v>
      </c>
    </row>
    <row r="342" spans="1:9" s="30" customFormat="1" ht="18.75">
      <c r="A342" s="57" t="s">
        <v>118</v>
      </c>
      <c r="B342" s="28" t="s">
        <v>13</v>
      </c>
      <c r="C342" s="29" t="s">
        <v>3</v>
      </c>
      <c r="D342" s="29" t="s">
        <v>237</v>
      </c>
      <c r="E342" s="29" t="s">
        <v>23</v>
      </c>
      <c r="F342" s="35">
        <f>SUM(G342:I342)</f>
        <v>211.1</v>
      </c>
      <c r="G342" s="36"/>
      <c r="H342" s="36">
        <v>211.1</v>
      </c>
      <c r="I342" s="58"/>
    </row>
    <row r="343" spans="1:9" s="15" customFormat="1" ht="18.75">
      <c r="A343" s="53" t="s">
        <v>103</v>
      </c>
      <c r="B343" s="13" t="s">
        <v>13</v>
      </c>
      <c r="C343" s="14" t="s">
        <v>3</v>
      </c>
      <c r="D343" s="14" t="s">
        <v>238</v>
      </c>
      <c r="E343" s="14"/>
      <c r="F343" s="43">
        <f>SUM(F344,F346)</f>
        <v>13720.699999999999</v>
      </c>
      <c r="G343" s="43">
        <f>SUM(G344,G346)</f>
        <v>13404.9</v>
      </c>
      <c r="H343" s="43">
        <f>SUM(H344,H346)</f>
        <v>315.8</v>
      </c>
      <c r="I343" s="54">
        <f>SUM(I344,I346)</f>
        <v>0</v>
      </c>
    </row>
    <row r="344" spans="1:9" s="5" customFormat="1" ht="37.5">
      <c r="A344" s="55" t="s">
        <v>79</v>
      </c>
      <c r="B344" s="4" t="s">
        <v>13</v>
      </c>
      <c r="C344" s="7" t="s">
        <v>3</v>
      </c>
      <c r="D344" s="7" t="s">
        <v>239</v>
      </c>
      <c r="E344" s="7"/>
      <c r="F344" s="39">
        <f>F345</f>
        <v>13404.9</v>
      </c>
      <c r="G344" s="39">
        <f>G345</f>
        <v>13404.9</v>
      </c>
      <c r="H344" s="39">
        <f>H345</f>
        <v>0</v>
      </c>
      <c r="I344" s="59">
        <f>I345</f>
        <v>0</v>
      </c>
    </row>
    <row r="345" spans="1:9" s="30" customFormat="1" ht="18.75">
      <c r="A345" s="57" t="s">
        <v>118</v>
      </c>
      <c r="B345" s="28" t="s">
        <v>13</v>
      </c>
      <c r="C345" s="29" t="s">
        <v>3</v>
      </c>
      <c r="D345" s="29" t="s">
        <v>239</v>
      </c>
      <c r="E345" s="29" t="s">
        <v>23</v>
      </c>
      <c r="F345" s="35">
        <f>SUM(G345:I345)</f>
        <v>13404.9</v>
      </c>
      <c r="G345" s="36">
        <f>13494.4-89.5</f>
        <v>13404.9</v>
      </c>
      <c r="H345" s="36"/>
      <c r="I345" s="58"/>
    </row>
    <row r="346" spans="1:9" s="30" customFormat="1" ht="37.5">
      <c r="A346" s="55" t="s">
        <v>314</v>
      </c>
      <c r="B346" s="28" t="s">
        <v>13</v>
      </c>
      <c r="C346" s="29" t="s">
        <v>3</v>
      </c>
      <c r="D346" s="29" t="s">
        <v>240</v>
      </c>
      <c r="E346" s="29"/>
      <c r="F346" s="39">
        <f>F347</f>
        <v>315.8</v>
      </c>
      <c r="G346" s="39">
        <f>G347</f>
        <v>0</v>
      </c>
      <c r="H346" s="39">
        <f>H347</f>
        <v>315.8</v>
      </c>
      <c r="I346" s="59">
        <f>I347</f>
        <v>0</v>
      </c>
    </row>
    <row r="347" spans="1:9" s="30" customFormat="1" ht="18.75">
      <c r="A347" s="57" t="s">
        <v>118</v>
      </c>
      <c r="B347" s="28" t="s">
        <v>13</v>
      </c>
      <c r="C347" s="29" t="s">
        <v>3</v>
      </c>
      <c r="D347" s="29" t="s">
        <v>240</v>
      </c>
      <c r="E347" s="29" t="s">
        <v>23</v>
      </c>
      <c r="F347" s="35">
        <f>SUM(G347:I347)</f>
        <v>315.8</v>
      </c>
      <c r="G347" s="36"/>
      <c r="H347" s="36">
        <v>315.8</v>
      </c>
      <c r="I347" s="58"/>
    </row>
    <row r="348" spans="1:9" s="15" customFormat="1" ht="37.5">
      <c r="A348" s="53" t="s">
        <v>104</v>
      </c>
      <c r="B348" s="13" t="s">
        <v>13</v>
      </c>
      <c r="C348" s="14" t="s">
        <v>3</v>
      </c>
      <c r="D348" s="14" t="s">
        <v>241</v>
      </c>
      <c r="E348" s="14"/>
      <c r="F348" s="43">
        <f>SUM(F349,F351)</f>
        <v>14650</v>
      </c>
      <c r="G348" s="43">
        <f>SUM(G349,G351)</f>
        <v>12750</v>
      </c>
      <c r="H348" s="43">
        <f>SUM(H349,H351)</f>
        <v>1900</v>
      </c>
      <c r="I348" s="54">
        <f>SUM(I349,I351)</f>
        <v>0</v>
      </c>
    </row>
    <row r="349" spans="1:9" s="5" customFormat="1" ht="37.5">
      <c r="A349" s="55" t="s">
        <v>79</v>
      </c>
      <c r="B349" s="4" t="s">
        <v>13</v>
      </c>
      <c r="C349" s="7" t="s">
        <v>3</v>
      </c>
      <c r="D349" s="7" t="s">
        <v>242</v>
      </c>
      <c r="E349" s="7"/>
      <c r="F349" s="39">
        <f>F350</f>
        <v>12750</v>
      </c>
      <c r="G349" s="39">
        <f>G350</f>
        <v>12750</v>
      </c>
      <c r="H349" s="39">
        <f>H350</f>
        <v>0</v>
      </c>
      <c r="I349" s="59">
        <f>I350</f>
        <v>0</v>
      </c>
    </row>
    <row r="350" spans="1:9" s="30" customFormat="1" ht="18.75">
      <c r="A350" s="57" t="s">
        <v>118</v>
      </c>
      <c r="B350" s="28" t="s">
        <v>13</v>
      </c>
      <c r="C350" s="29" t="s">
        <v>3</v>
      </c>
      <c r="D350" s="29" t="s">
        <v>242</v>
      </c>
      <c r="E350" s="29" t="s">
        <v>23</v>
      </c>
      <c r="F350" s="35">
        <f>SUM(G350:I350)</f>
        <v>12750</v>
      </c>
      <c r="G350" s="36">
        <v>12750</v>
      </c>
      <c r="H350" s="36"/>
      <c r="I350" s="58"/>
    </row>
    <row r="351" spans="1:9" s="30" customFormat="1" ht="37.5">
      <c r="A351" s="55" t="s">
        <v>314</v>
      </c>
      <c r="B351" s="28" t="s">
        <v>13</v>
      </c>
      <c r="C351" s="29" t="s">
        <v>3</v>
      </c>
      <c r="D351" s="29" t="s">
        <v>243</v>
      </c>
      <c r="E351" s="29"/>
      <c r="F351" s="39">
        <f>F352</f>
        <v>1900</v>
      </c>
      <c r="G351" s="39">
        <f>G352</f>
        <v>0</v>
      </c>
      <c r="H351" s="39">
        <f>H352</f>
        <v>1900</v>
      </c>
      <c r="I351" s="59">
        <f>I352</f>
        <v>0</v>
      </c>
    </row>
    <row r="352" spans="1:9" s="30" customFormat="1" ht="18.75">
      <c r="A352" s="57" t="s">
        <v>118</v>
      </c>
      <c r="B352" s="28" t="s">
        <v>13</v>
      </c>
      <c r="C352" s="29" t="s">
        <v>3</v>
      </c>
      <c r="D352" s="29" t="s">
        <v>243</v>
      </c>
      <c r="E352" s="29" t="s">
        <v>23</v>
      </c>
      <c r="F352" s="35">
        <f>SUM(G352:I352)</f>
        <v>1900</v>
      </c>
      <c r="G352" s="36"/>
      <c r="H352" s="36">
        <v>1900</v>
      </c>
      <c r="I352" s="58"/>
    </row>
    <row r="353" spans="1:9" s="15" customFormat="1" ht="39" customHeight="1">
      <c r="A353" s="53" t="s">
        <v>105</v>
      </c>
      <c r="B353" s="13" t="s">
        <v>13</v>
      </c>
      <c r="C353" s="14" t="s">
        <v>3</v>
      </c>
      <c r="D353" s="14" t="s">
        <v>244</v>
      </c>
      <c r="E353" s="14"/>
      <c r="F353" s="43">
        <f>SUM(F354,F357)</f>
        <v>5648.6</v>
      </c>
      <c r="G353" s="43">
        <f>SUM(G354,G357)</f>
        <v>5365.6</v>
      </c>
      <c r="H353" s="43">
        <f>SUM(H354,H357)</f>
        <v>0</v>
      </c>
      <c r="I353" s="54">
        <f>SUM(I354,I357)</f>
        <v>283</v>
      </c>
    </row>
    <row r="354" spans="1:9" s="5" customFormat="1" ht="37.5">
      <c r="A354" s="55" t="s">
        <v>106</v>
      </c>
      <c r="B354" s="4" t="s">
        <v>13</v>
      </c>
      <c r="C354" s="7" t="s">
        <v>3</v>
      </c>
      <c r="D354" s="7" t="s">
        <v>245</v>
      </c>
      <c r="E354" s="7"/>
      <c r="F354" s="39">
        <f aca="true" t="shared" si="30" ref="F354:I355">F355</f>
        <v>283</v>
      </c>
      <c r="G354" s="39">
        <f t="shared" si="30"/>
        <v>0</v>
      </c>
      <c r="H354" s="39">
        <f t="shared" si="30"/>
        <v>0</v>
      </c>
      <c r="I354" s="59">
        <f t="shared" si="30"/>
        <v>283</v>
      </c>
    </row>
    <row r="355" spans="1:9" s="5" customFormat="1" ht="56.25">
      <c r="A355" s="55" t="s">
        <v>321</v>
      </c>
      <c r="B355" s="4" t="s">
        <v>13</v>
      </c>
      <c r="C355" s="7" t="s">
        <v>3</v>
      </c>
      <c r="D355" s="7" t="s">
        <v>298</v>
      </c>
      <c r="E355" s="7"/>
      <c r="F355" s="39">
        <f t="shared" si="30"/>
        <v>283</v>
      </c>
      <c r="G355" s="39">
        <f t="shared" si="30"/>
        <v>0</v>
      </c>
      <c r="H355" s="39">
        <f t="shared" si="30"/>
        <v>0</v>
      </c>
      <c r="I355" s="59">
        <f t="shared" si="30"/>
        <v>283</v>
      </c>
    </row>
    <row r="356" spans="1:9" s="30" customFormat="1" ht="18.75">
      <c r="A356" s="57" t="s">
        <v>118</v>
      </c>
      <c r="B356" s="28" t="s">
        <v>13</v>
      </c>
      <c r="C356" s="29" t="s">
        <v>3</v>
      </c>
      <c r="D356" s="29" t="s">
        <v>298</v>
      </c>
      <c r="E356" s="29" t="s">
        <v>23</v>
      </c>
      <c r="F356" s="35">
        <f>SUM(G356:I356)</f>
        <v>283</v>
      </c>
      <c r="G356" s="36"/>
      <c r="H356" s="36"/>
      <c r="I356" s="58">
        <f>125+158</f>
        <v>283</v>
      </c>
    </row>
    <row r="357" spans="1:9" s="5" customFormat="1" ht="37.5">
      <c r="A357" s="55" t="s">
        <v>107</v>
      </c>
      <c r="B357" s="4" t="s">
        <v>13</v>
      </c>
      <c r="C357" s="7" t="s">
        <v>3</v>
      </c>
      <c r="D357" s="7" t="s">
        <v>246</v>
      </c>
      <c r="E357" s="7"/>
      <c r="F357" s="39">
        <f>SUM(F358:F359)</f>
        <v>5365.6</v>
      </c>
      <c r="G357" s="39">
        <f>SUM(G358:G359)</f>
        <v>5365.6</v>
      </c>
      <c r="H357" s="39">
        <f>SUM(H358:H359)</f>
        <v>0</v>
      </c>
      <c r="I357" s="59">
        <f>SUM(I358:I359)</f>
        <v>0</v>
      </c>
    </row>
    <row r="358" spans="1:9" s="30" customFormat="1" ht="18.75">
      <c r="A358" s="57" t="s">
        <v>118</v>
      </c>
      <c r="B358" s="28" t="s">
        <v>13</v>
      </c>
      <c r="C358" s="29" t="s">
        <v>3</v>
      </c>
      <c r="D358" s="29" t="s">
        <v>246</v>
      </c>
      <c r="E358" s="29" t="s">
        <v>23</v>
      </c>
      <c r="F358" s="35">
        <f>SUM(G358:I358)</f>
        <v>5365.6</v>
      </c>
      <c r="G358" s="36">
        <f>3367.5+50+2164-1348+81.3+336.8+225+97+100+292</f>
        <v>5365.6</v>
      </c>
      <c r="H358" s="36"/>
      <c r="I358" s="58"/>
    </row>
    <row r="359" spans="1:9" s="30" customFormat="1" ht="18.75" hidden="1">
      <c r="A359" s="57" t="s">
        <v>125</v>
      </c>
      <c r="B359" s="28" t="s">
        <v>13</v>
      </c>
      <c r="C359" s="29" t="s">
        <v>3</v>
      </c>
      <c r="D359" s="29" t="s">
        <v>246</v>
      </c>
      <c r="E359" s="29" t="s">
        <v>27</v>
      </c>
      <c r="F359" s="35">
        <f>SUM(G359:I359)</f>
        <v>0</v>
      </c>
      <c r="G359" s="36"/>
      <c r="H359" s="36"/>
      <c r="I359" s="58"/>
    </row>
    <row r="360" spans="1:9" s="5" customFormat="1" ht="23.25" customHeight="1">
      <c r="A360" s="53" t="s">
        <v>392</v>
      </c>
      <c r="B360" s="13" t="s">
        <v>13</v>
      </c>
      <c r="C360" s="14" t="s">
        <v>3</v>
      </c>
      <c r="D360" s="14" t="s">
        <v>201</v>
      </c>
      <c r="E360" s="7"/>
      <c r="F360" s="39">
        <f>F361</f>
        <v>143</v>
      </c>
      <c r="G360" s="39">
        <f aca="true" t="shared" si="31" ref="G360:I361">G361</f>
        <v>143</v>
      </c>
      <c r="H360" s="39">
        <f t="shared" si="31"/>
        <v>0</v>
      </c>
      <c r="I360" s="59">
        <f t="shared" si="31"/>
        <v>0</v>
      </c>
    </row>
    <row r="361" spans="1:9" s="5" customFormat="1" ht="39.75" customHeight="1">
      <c r="A361" s="79" t="s">
        <v>393</v>
      </c>
      <c r="B361" s="4" t="s">
        <v>13</v>
      </c>
      <c r="C361" s="7" t="s">
        <v>3</v>
      </c>
      <c r="D361" s="7" t="s">
        <v>428</v>
      </c>
      <c r="E361" s="7"/>
      <c r="F361" s="39">
        <f>F362</f>
        <v>143</v>
      </c>
      <c r="G361" s="39">
        <f t="shared" si="31"/>
        <v>143</v>
      </c>
      <c r="H361" s="39">
        <f t="shared" si="31"/>
        <v>0</v>
      </c>
      <c r="I361" s="59">
        <f t="shared" si="31"/>
        <v>0</v>
      </c>
    </row>
    <row r="362" spans="1:9" s="30" customFormat="1" ht="25.5" customHeight="1">
      <c r="A362" s="57" t="s">
        <v>118</v>
      </c>
      <c r="B362" s="28" t="s">
        <v>13</v>
      </c>
      <c r="C362" s="29" t="s">
        <v>3</v>
      </c>
      <c r="D362" s="29" t="s">
        <v>427</v>
      </c>
      <c r="E362" s="29" t="s">
        <v>23</v>
      </c>
      <c r="F362" s="35">
        <f>SUM(G362:I362)</f>
        <v>143</v>
      </c>
      <c r="G362" s="36">
        <v>143</v>
      </c>
      <c r="H362" s="36"/>
      <c r="I362" s="58"/>
    </row>
    <row r="363" spans="1:9" s="15" customFormat="1" ht="18.75">
      <c r="A363" s="53" t="s">
        <v>382</v>
      </c>
      <c r="B363" s="13" t="s">
        <v>13</v>
      </c>
      <c r="C363" s="14" t="s">
        <v>3</v>
      </c>
      <c r="D363" s="14" t="s">
        <v>206</v>
      </c>
      <c r="E363" s="14"/>
      <c r="F363" s="43">
        <f aca="true" t="shared" si="32" ref="F363:I364">F364</f>
        <v>294</v>
      </c>
      <c r="G363" s="43">
        <f t="shared" si="32"/>
        <v>294</v>
      </c>
      <c r="H363" s="43">
        <f t="shared" si="32"/>
        <v>0</v>
      </c>
      <c r="I363" s="54">
        <f t="shared" si="32"/>
        <v>0</v>
      </c>
    </row>
    <row r="364" spans="1:9" s="5" customFormat="1" ht="65.25" customHeight="1">
      <c r="A364" s="55" t="s">
        <v>471</v>
      </c>
      <c r="B364" s="4" t="s">
        <v>13</v>
      </c>
      <c r="C364" s="7" t="s">
        <v>3</v>
      </c>
      <c r="D364" s="7" t="s">
        <v>469</v>
      </c>
      <c r="E364" s="7"/>
      <c r="F364" s="42">
        <f t="shared" si="32"/>
        <v>294</v>
      </c>
      <c r="G364" s="42">
        <f t="shared" si="32"/>
        <v>294</v>
      </c>
      <c r="H364" s="42">
        <f t="shared" si="32"/>
        <v>0</v>
      </c>
      <c r="I364" s="56">
        <f t="shared" si="32"/>
        <v>0</v>
      </c>
    </row>
    <row r="365" spans="1:9" s="30" customFormat="1" ht="37.5">
      <c r="A365" s="57" t="s">
        <v>124</v>
      </c>
      <c r="B365" s="28" t="s">
        <v>13</v>
      </c>
      <c r="C365" s="29" t="s">
        <v>3</v>
      </c>
      <c r="D365" s="29" t="s">
        <v>469</v>
      </c>
      <c r="E365" s="29" t="s">
        <v>20</v>
      </c>
      <c r="F365" s="35">
        <f>SUM(G365:I365)</f>
        <v>294</v>
      </c>
      <c r="G365" s="36">
        <v>294</v>
      </c>
      <c r="H365" s="36"/>
      <c r="I365" s="58"/>
    </row>
    <row r="366" spans="1:9" s="15" customFormat="1" ht="47.25" customHeight="1">
      <c r="A366" s="53" t="s">
        <v>146</v>
      </c>
      <c r="B366" s="13" t="s">
        <v>13</v>
      </c>
      <c r="C366" s="14" t="s">
        <v>9</v>
      </c>
      <c r="D366" s="14"/>
      <c r="E366" s="14"/>
      <c r="F366" s="43">
        <f>SUM(F367,F370,F375)</f>
        <v>33116.2</v>
      </c>
      <c r="G366" s="43">
        <f>SUM(G367,G370,G375)</f>
        <v>32904.1</v>
      </c>
      <c r="H366" s="43">
        <f>SUM(H367,H370,H375)</f>
        <v>212.1</v>
      </c>
      <c r="I366" s="54">
        <f>SUM(I367,I370,I375)</f>
        <v>0</v>
      </c>
    </row>
    <row r="367" spans="1:9" s="15" customFormat="1" ht="75">
      <c r="A367" s="53" t="s">
        <v>57</v>
      </c>
      <c r="B367" s="13" t="s">
        <v>13</v>
      </c>
      <c r="C367" s="14" t="s">
        <v>9</v>
      </c>
      <c r="D367" s="14" t="s">
        <v>165</v>
      </c>
      <c r="E367" s="14"/>
      <c r="F367" s="43">
        <f aca="true" t="shared" si="33" ref="F367:I368">F368</f>
        <v>954.3</v>
      </c>
      <c r="G367" s="43">
        <f t="shared" si="33"/>
        <v>954.3</v>
      </c>
      <c r="H367" s="43">
        <f t="shared" si="33"/>
        <v>0</v>
      </c>
      <c r="I367" s="54">
        <f t="shared" si="33"/>
        <v>0</v>
      </c>
    </row>
    <row r="368" spans="1:9" s="5" customFormat="1" ht="18.75">
      <c r="A368" s="55" t="s">
        <v>59</v>
      </c>
      <c r="B368" s="4" t="s">
        <v>13</v>
      </c>
      <c r="C368" s="7" t="s">
        <v>9</v>
      </c>
      <c r="D368" s="7" t="s">
        <v>167</v>
      </c>
      <c r="E368" s="7"/>
      <c r="F368" s="39">
        <f t="shared" si="33"/>
        <v>954.3</v>
      </c>
      <c r="G368" s="39">
        <f t="shared" si="33"/>
        <v>954.3</v>
      </c>
      <c r="H368" s="39">
        <f t="shared" si="33"/>
        <v>0</v>
      </c>
      <c r="I368" s="59">
        <f t="shared" si="33"/>
        <v>0</v>
      </c>
    </row>
    <row r="369" spans="1:9" s="30" customFormat="1" ht="37.5">
      <c r="A369" s="57" t="s">
        <v>124</v>
      </c>
      <c r="B369" s="28" t="s">
        <v>13</v>
      </c>
      <c r="C369" s="29" t="s">
        <v>9</v>
      </c>
      <c r="D369" s="29" t="s">
        <v>167</v>
      </c>
      <c r="E369" s="29" t="s">
        <v>20</v>
      </c>
      <c r="F369" s="35">
        <f>SUM(G369:I369)</f>
        <v>954.3</v>
      </c>
      <c r="G369" s="36">
        <f>864.3+16.7+25+48.3</f>
        <v>954.3</v>
      </c>
      <c r="H369" s="36"/>
      <c r="I369" s="58"/>
    </row>
    <row r="370" spans="1:9" s="15" customFormat="1" ht="112.5">
      <c r="A370" s="53" t="s">
        <v>101</v>
      </c>
      <c r="B370" s="13" t="s">
        <v>13</v>
      </c>
      <c r="C370" s="14" t="s">
        <v>9</v>
      </c>
      <c r="D370" s="14" t="s">
        <v>229</v>
      </c>
      <c r="E370" s="14"/>
      <c r="F370" s="43">
        <f>SUM(F371,F373)</f>
        <v>3161.9</v>
      </c>
      <c r="G370" s="43">
        <f>SUM(G371,G373)</f>
        <v>2949.8</v>
      </c>
      <c r="H370" s="43">
        <f>SUM(H371,H373)</f>
        <v>212.1</v>
      </c>
      <c r="I370" s="54">
        <f>SUM(I371,I373)</f>
        <v>0</v>
      </c>
    </row>
    <row r="371" spans="1:9" s="5" customFormat="1" ht="37.5">
      <c r="A371" s="55" t="s">
        <v>79</v>
      </c>
      <c r="B371" s="4" t="s">
        <v>13</v>
      </c>
      <c r="C371" s="7" t="s">
        <v>9</v>
      </c>
      <c r="D371" s="7" t="s">
        <v>230</v>
      </c>
      <c r="E371" s="7"/>
      <c r="F371" s="39">
        <f>F372</f>
        <v>2949.8</v>
      </c>
      <c r="G371" s="39">
        <f>G372</f>
        <v>2949.8</v>
      </c>
      <c r="H371" s="39">
        <f>H372</f>
        <v>0</v>
      </c>
      <c r="I371" s="59">
        <f>I372</f>
        <v>0</v>
      </c>
    </row>
    <row r="372" spans="1:9" s="30" customFormat="1" ht="18.75">
      <c r="A372" s="57" t="s">
        <v>118</v>
      </c>
      <c r="B372" s="28" t="s">
        <v>13</v>
      </c>
      <c r="C372" s="29" t="s">
        <v>9</v>
      </c>
      <c r="D372" s="29" t="s">
        <v>230</v>
      </c>
      <c r="E372" s="29" t="s">
        <v>23</v>
      </c>
      <c r="F372" s="35">
        <f>SUM(G372:I372)</f>
        <v>2949.8</v>
      </c>
      <c r="G372" s="36">
        <v>2949.8</v>
      </c>
      <c r="H372" s="36"/>
      <c r="I372" s="58"/>
    </row>
    <row r="373" spans="1:9" s="30" customFormat="1" ht="37.5">
      <c r="A373" s="55" t="s">
        <v>314</v>
      </c>
      <c r="B373" s="28" t="s">
        <v>13</v>
      </c>
      <c r="C373" s="29" t="s">
        <v>9</v>
      </c>
      <c r="D373" s="29" t="s">
        <v>231</v>
      </c>
      <c r="E373" s="29"/>
      <c r="F373" s="39">
        <f>F374</f>
        <v>212.1</v>
      </c>
      <c r="G373" s="39">
        <f>G374</f>
        <v>0</v>
      </c>
      <c r="H373" s="39">
        <f>H374</f>
        <v>212.1</v>
      </c>
      <c r="I373" s="59">
        <f>I374</f>
        <v>0</v>
      </c>
    </row>
    <row r="374" spans="1:9" s="30" customFormat="1" ht="18.75">
      <c r="A374" s="57" t="s">
        <v>118</v>
      </c>
      <c r="B374" s="28" t="s">
        <v>13</v>
      </c>
      <c r="C374" s="29" t="s">
        <v>9</v>
      </c>
      <c r="D374" s="29" t="s">
        <v>231</v>
      </c>
      <c r="E374" s="29" t="s">
        <v>23</v>
      </c>
      <c r="F374" s="35">
        <f>SUM(G374:I374)</f>
        <v>212.1</v>
      </c>
      <c r="G374" s="36"/>
      <c r="H374" s="36">
        <v>212.1</v>
      </c>
      <c r="I374" s="58"/>
    </row>
    <row r="375" spans="1:9" s="15" customFormat="1" ht="21.75" customHeight="1">
      <c r="A375" s="53" t="s">
        <v>130</v>
      </c>
      <c r="B375" s="13" t="s">
        <v>13</v>
      </c>
      <c r="C375" s="14" t="s">
        <v>9</v>
      </c>
      <c r="D375" s="14" t="s">
        <v>201</v>
      </c>
      <c r="E375" s="14"/>
      <c r="F375" s="43">
        <f>F376+F378</f>
        <v>29000</v>
      </c>
      <c r="G375" s="43">
        <f>G376+G378</f>
        <v>29000</v>
      </c>
      <c r="H375" s="43">
        <f>H376+H378</f>
        <v>0</v>
      </c>
      <c r="I375" s="54">
        <f>I376+I378</f>
        <v>0</v>
      </c>
    </row>
    <row r="376" spans="1:9" s="5" customFormat="1" ht="78.75" customHeight="1">
      <c r="A376" s="55" t="s">
        <v>442</v>
      </c>
      <c r="B376" s="4" t="s">
        <v>13</v>
      </c>
      <c r="C376" s="7" t="s">
        <v>9</v>
      </c>
      <c r="D376" s="7" t="s">
        <v>447</v>
      </c>
      <c r="E376" s="7"/>
      <c r="F376" s="39">
        <f aca="true" t="shared" si="34" ref="F376:I378">F377</f>
        <v>29000</v>
      </c>
      <c r="G376" s="39">
        <f t="shared" si="34"/>
        <v>29000</v>
      </c>
      <c r="H376" s="39">
        <f t="shared" si="34"/>
        <v>0</v>
      </c>
      <c r="I376" s="59">
        <f t="shared" si="34"/>
        <v>0</v>
      </c>
    </row>
    <row r="377" spans="1:9" s="30" customFormat="1" ht="18.75">
      <c r="A377" s="57" t="s">
        <v>119</v>
      </c>
      <c r="B377" s="28" t="s">
        <v>13</v>
      </c>
      <c r="C377" s="29" t="s">
        <v>9</v>
      </c>
      <c r="D377" s="29" t="s">
        <v>447</v>
      </c>
      <c r="E377" s="29" t="s">
        <v>24</v>
      </c>
      <c r="F377" s="35">
        <f>SUM(G377:I377)</f>
        <v>29000</v>
      </c>
      <c r="G377" s="36">
        <v>29000</v>
      </c>
      <c r="H377" s="36"/>
      <c r="I377" s="58"/>
    </row>
    <row r="378" spans="1:9" s="30" customFormat="1" ht="41.25" customHeight="1" hidden="1">
      <c r="A378" s="55" t="s">
        <v>375</v>
      </c>
      <c r="B378" s="4" t="s">
        <v>13</v>
      </c>
      <c r="C378" s="7" t="s">
        <v>9</v>
      </c>
      <c r="D378" s="7" t="s">
        <v>376</v>
      </c>
      <c r="E378" s="7"/>
      <c r="F378" s="39">
        <f t="shared" si="34"/>
        <v>0</v>
      </c>
      <c r="G378" s="39">
        <f t="shared" si="34"/>
        <v>0</v>
      </c>
      <c r="H378" s="39">
        <f t="shared" si="34"/>
        <v>0</v>
      </c>
      <c r="I378" s="59">
        <f t="shared" si="34"/>
        <v>0</v>
      </c>
    </row>
    <row r="379" spans="1:9" s="30" customFormat="1" ht="18.75" hidden="1">
      <c r="A379" s="57" t="s">
        <v>119</v>
      </c>
      <c r="B379" s="28" t="s">
        <v>13</v>
      </c>
      <c r="C379" s="29" t="s">
        <v>9</v>
      </c>
      <c r="D379" s="29" t="s">
        <v>376</v>
      </c>
      <c r="E379" s="29" t="s">
        <v>24</v>
      </c>
      <c r="F379" s="35">
        <f>SUM(G379:I379)</f>
        <v>0</v>
      </c>
      <c r="G379" s="36"/>
      <c r="H379" s="36"/>
      <c r="I379" s="58"/>
    </row>
    <row r="380" spans="1:9" s="6" customFormat="1" ht="18.75">
      <c r="A380" s="51" t="s">
        <v>50</v>
      </c>
      <c r="B380" s="45"/>
      <c r="C380" s="46"/>
      <c r="D380" s="46"/>
      <c r="E380" s="46"/>
      <c r="F380" s="47">
        <f>SUM(F381,F404,F422,F428,F436,F440,F451)</f>
        <v>213486.49999999997</v>
      </c>
      <c r="G380" s="47">
        <f>SUM(G381,G404,G422,G428,G436,G440,G451)</f>
        <v>176964.1</v>
      </c>
      <c r="H380" s="47">
        <f>SUM(H381,H404,H422,H428,H436,H440,H451)</f>
        <v>35903.399999999994</v>
      </c>
      <c r="I380" s="52">
        <f>SUM(I381,I404,I422,I428,I436,I440,I451)</f>
        <v>619</v>
      </c>
    </row>
    <row r="381" spans="1:9" s="15" customFormat="1" ht="18.75">
      <c r="A381" s="53" t="s">
        <v>51</v>
      </c>
      <c r="B381" s="13" t="s">
        <v>12</v>
      </c>
      <c r="C381" s="14" t="s">
        <v>3</v>
      </c>
      <c r="D381" s="14"/>
      <c r="E381" s="14"/>
      <c r="F381" s="44">
        <f>SUM(F382,F387,F398,F401)</f>
        <v>82704.7</v>
      </c>
      <c r="G381" s="44">
        <f>SUM(G382,G387,G398,G401)</f>
        <v>74688</v>
      </c>
      <c r="H381" s="44">
        <f>SUM(H382,H387,H398,H401)</f>
        <v>7397.7</v>
      </c>
      <c r="I381" s="63">
        <f>SUM(I382,I387,I398,I401)</f>
        <v>619</v>
      </c>
    </row>
    <row r="382" spans="1:9" s="15" customFormat="1" ht="40.5" customHeight="1" hidden="1">
      <c r="A382" s="53" t="s">
        <v>71</v>
      </c>
      <c r="B382" s="13" t="s">
        <v>12</v>
      </c>
      <c r="C382" s="14" t="s">
        <v>3</v>
      </c>
      <c r="D382" s="14" t="s">
        <v>194</v>
      </c>
      <c r="E382" s="14"/>
      <c r="F382" s="43">
        <f>F383+F385</f>
        <v>0</v>
      </c>
      <c r="G382" s="43">
        <f>G383+G385</f>
        <v>0</v>
      </c>
      <c r="H382" s="43">
        <f>H383+H385</f>
        <v>0</v>
      </c>
      <c r="I382" s="54">
        <f>I383+I385</f>
        <v>0</v>
      </c>
    </row>
    <row r="383" spans="1:9" s="5" customFormat="1" ht="55.5" customHeight="1" hidden="1">
      <c r="A383" s="55" t="s">
        <v>144</v>
      </c>
      <c r="B383" s="4" t="s">
        <v>12</v>
      </c>
      <c r="C383" s="7" t="s">
        <v>3</v>
      </c>
      <c r="D383" s="7" t="s">
        <v>195</v>
      </c>
      <c r="E383" s="7"/>
      <c r="F383" s="39">
        <f>F384</f>
        <v>0</v>
      </c>
      <c r="G383" s="39">
        <f>G384</f>
        <v>0</v>
      </c>
      <c r="H383" s="39">
        <f>H384</f>
        <v>0</v>
      </c>
      <c r="I383" s="59">
        <f>I384</f>
        <v>0</v>
      </c>
    </row>
    <row r="384" spans="1:9" s="30" customFormat="1" ht="20.25" customHeight="1" hidden="1">
      <c r="A384" s="62" t="s">
        <v>119</v>
      </c>
      <c r="B384" s="28" t="s">
        <v>12</v>
      </c>
      <c r="C384" s="29" t="s">
        <v>3</v>
      </c>
      <c r="D384" s="29" t="s">
        <v>195</v>
      </c>
      <c r="E384" s="29" t="s">
        <v>24</v>
      </c>
      <c r="F384" s="35">
        <f>SUM(G384:I384)</f>
        <v>0</v>
      </c>
      <c r="G384" s="35"/>
      <c r="H384" s="35"/>
      <c r="I384" s="61"/>
    </row>
    <row r="385" spans="1:9" s="11" customFormat="1" ht="25.5" customHeight="1" hidden="1">
      <c r="A385" s="60" t="s">
        <v>72</v>
      </c>
      <c r="B385" s="9" t="s">
        <v>12</v>
      </c>
      <c r="C385" s="10" t="s">
        <v>3</v>
      </c>
      <c r="D385" s="10" t="s">
        <v>196</v>
      </c>
      <c r="E385" s="10"/>
      <c r="F385" s="42">
        <f>F386</f>
        <v>0</v>
      </c>
      <c r="G385" s="42">
        <f>G386</f>
        <v>0</v>
      </c>
      <c r="H385" s="42">
        <f>H386</f>
        <v>0</v>
      </c>
      <c r="I385" s="56">
        <f>I386</f>
        <v>0</v>
      </c>
    </row>
    <row r="386" spans="1:9" s="30" customFormat="1" ht="18.75" hidden="1">
      <c r="A386" s="62" t="s">
        <v>119</v>
      </c>
      <c r="B386" s="28" t="s">
        <v>12</v>
      </c>
      <c r="C386" s="29" t="s">
        <v>3</v>
      </c>
      <c r="D386" s="29" t="s">
        <v>196</v>
      </c>
      <c r="E386" s="29" t="s">
        <v>24</v>
      </c>
      <c r="F386" s="35">
        <f>SUM(G386:I386)</f>
        <v>0</v>
      </c>
      <c r="G386" s="36"/>
      <c r="H386" s="36"/>
      <c r="I386" s="58"/>
    </row>
    <row r="387" spans="1:9" s="15" customFormat="1" ht="37.5">
      <c r="A387" s="53" t="s">
        <v>108</v>
      </c>
      <c r="B387" s="13" t="s">
        <v>12</v>
      </c>
      <c r="C387" s="14" t="s">
        <v>3</v>
      </c>
      <c r="D387" s="14" t="s">
        <v>248</v>
      </c>
      <c r="E387" s="14"/>
      <c r="F387" s="43">
        <f>SUM(F388,F390,F392,F396)</f>
        <v>67819.3</v>
      </c>
      <c r="G387" s="43">
        <f>SUM(G388,G390,G392,G396)</f>
        <v>59802.6</v>
      </c>
      <c r="H387" s="43">
        <f>SUM(H388,H390,H392,H396)</f>
        <v>7397.7</v>
      </c>
      <c r="I387" s="54">
        <f>SUM(I388,I390,I392,I396)</f>
        <v>619</v>
      </c>
    </row>
    <row r="388" spans="1:9" s="5" customFormat="1" ht="37.5">
      <c r="A388" s="55" t="s">
        <v>79</v>
      </c>
      <c r="B388" s="4" t="s">
        <v>12</v>
      </c>
      <c r="C388" s="7" t="s">
        <v>3</v>
      </c>
      <c r="D388" s="7" t="s">
        <v>249</v>
      </c>
      <c r="E388" s="7"/>
      <c r="F388" s="39">
        <f>F389</f>
        <v>59802.6</v>
      </c>
      <c r="G388" s="39">
        <f>G389</f>
        <v>59802.6</v>
      </c>
      <c r="H388" s="39">
        <f>H389</f>
        <v>0</v>
      </c>
      <c r="I388" s="59">
        <f>I389</f>
        <v>0</v>
      </c>
    </row>
    <row r="389" spans="1:9" s="30" customFormat="1" ht="18.75">
      <c r="A389" s="57" t="s">
        <v>118</v>
      </c>
      <c r="B389" s="28" t="s">
        <v>12</v>
      </c>
      <c r="C389" s="29" t="s">
        <v>3</v>
      </c>
      <c r="D389" s="29" t="s">
        <v>249</v>
      </c>
      <c r="E389" s="29" t="s">
        <v>23</v>
      </c>
      <c r="F389" s="35">
        <f>SUM(G389:I389)</f>
        <v>59802.6</v>
      </c>
      <c r="G389" s="36">
        <f>61059+80+51.6-2558.1+817.6-2.5-105+460</f>
        <v>59802.6</v>
      </c>
      <c r="H389" s="36"/>
      <c r="I389" s="58"/>
    </row>
    <row r="390" spans="1:9" s="30" customFormat="1" ht="37.5">
      <c r="A390" s="55" t="s">
        <v>314</v>
      </c>
      <c r="B390" s="28" t="s">
        <v>12</v>
      </c>
      <c r="C390" s="29" t="s">
        <v>3</v>
      </c>
      <c r="D390" s="29" t="s">
        <v>250</v>
      </c>
      <c r="E390" s="29"/>
      <c r="F390" s="39">
        <f>F391</f>
        <v>7397.7</v>
      </c>
      <c r="G390" s="39">
        <f>G391</f>
        <v>0</v>
      </c>
      <c r="H390" s="39">
        <f>H391</f>
        <v>7397.7</v>
      </c>
      <c r="I390" s="59">
        <f>I391</f>
        <v>0</v>
      </c>
    </row>
    <row r="391" spans="1:9" s="30" customFormat="1" ht="18.75">
      <c r="A391" s="57" t="s">
        <v>118</v>
      </c>
      <c r="B391" s="28" t="s">
        <v>12</v>
      </c>
      <c r="C391" s="29" t="s">
        <v>3</v>
      </c>
      <c r="D391" s="29" t="s">
        <v>250</v>
      </c>
      <c r="E391" s="29" t="s">
        <v>23</v>
      </c>
      <c r="F391" s="35">
        <f>SUM(G391:I391)</f>
        <v>7397.7</v>
      </c>
      <c r="G391" s="36"/>
      <c r="H391" s="36">
        <v>7397.7</v>
      </c>
      <c r="I391" s="58"/>
    </row>
    <row r="392" spans="1:9" s="30" customFormat="1" ht="37.5" hidden="1">
      <c r="A392" s="60" t="s">
        <v>322</v>
      </c>
      <c r="B392" s="9" t="s">
        <v>12</v>
      </c>
      <c r="C392" s="10" t="s">
        <v>3</v>
      </c>
      <c r="D392" s="10" t="s">
        <v>299</v>
      </c>
      <c r="E392" s="10"/>
      <c r="F392" s="39">
        <f>F393</f>
        <v>0</v>
      </c>
      <c r="G392" s="39">
        <f>G393</f>
        <v>0</v>
      </c>
      <c r="H392" s="39">
        <f>H393</f>
        <v>0</v>
      </c>
      <c r="I392" s="59">
        <f>I393</f>
        <v>0</v>
      </c>
    </row>
    <row r="393" spans="1:9" s="30" customFormat="1" ht="18.75" hidden="1">
      <c r="A393" s="57" t="s">
        <v>318</v>
      </c>
      <c r="B393" s="28" t="s">
        <v>12</v>
      </c>
      <c r="C393" s="29" t="s">
        <v>3</v>
      </c>
      <c r="D393" s="29" t="s">
        <v>299</v>
      </c>
      <c r="E393" s="29" t="s">
        <v>23</v>
      </c>
      <c r="F393" s="35">
        <f>SUM(G393:I393)</f>
        <v>0</v>
      </c>
      <c r="G393" s="36"/>
      <c r="H393" s="36"/>
      <c r="I393" s="58"/>
    </row>
    <row r="394" spans="1:9" s="30" customFormat="1" ht="42" customHeight="1" hidden="1">
      <c r="A394" s="70"/>
      <c r="B394" s="50"/>
      <c r="C394" s="50"/>
      <c r="D394" s="50"/>
      <c r="E394" s="50"/>
      <c r="F394" s="50"/>
      <c r="G394" s="50"/>
      <c r="H394" s="50"/>
      <c r="I394" s="71"/>
    </row>
    <row r="395" spans="1:9" s="30" customFormat="1" ht="18.75" hidden="1">
      <c r="A395" s="70"/>
      <c r="B395" s="50"/>
      <c r="C395" s="50"/>
      <c r="D395" s="50"/>
      <c r="E395" s="50"/>
      <c r="F395" s="50"/>
      <c r="G395" s="50"/>
      <c r="H395" s="50"/>
      <c r="I395" s="71"/>
    </row>
    <row r="396" spans="1:9" s="30" customFormat="1" ht="37.5">
      <c r="A396" s="60" t="s">
        <v>323</v>
      </c>
      <c r="B396" s="9" t="s">
        <v>12</v>
      </c>
      <c r="C396" s="10" t="s">
        <v>3</v>
      </c>
      <c r="D396" s="10" t="s">
        <v>300</v>
      </c>
      <c r="E396" s="10"/>
      <c r="F396" s="39">
        <f>F397</f>
        <v>619</v>
      </c>
      <c r="G396" s="39">
        <f>G397</f>
        <v>0</v>
      </c>
      <c r="H396" s="39">
        <f>H397</f>
        <v>0</v>
      </c>
      <c r="I396" s="59">
        <f>I397</f>
        <v>619</v>
      </c>
    </row>
    <row r="397" spans="1:9" s="30" customFormat="1" ht="18.75">
      <c r="A397" s="57" t="s">
        <v>318</v>
      </c>
      <c r="B397" s="28" t="s">
        <v>12</v>
      </c>
      <c r="C397" s="29" t="s">
        <v>3</v>
      </c>
      <c r="D397" s="29" t="s">
        <v>300</v>
      </c>
      <c r="E397" s="29" t="s">
        <v>23</v>
      </c>
      <c r="F397" s="35">
        <f>SUM(G397:I397)</f>
        <v>619</v>
      </c>
      <c r="G397" s="36"/>
      <c r="H397" s="36"/>
      <c r="I397" s="58">
        <v>619</v>
      </c>
    </row>
    <row r="398" spans="1:9" s="15" customFormat="1" ht="25.5" customHeight="1">
      <c r="A398" s="53" t="s">
        <v>341</v>
      </c>
      <c r="B398" s="13" t="s">
        <v>12</v>
      </c>
      <c r="C398" s="14" t="s">
        <v>3</v>
      </c>
      <c r="D398" s="14" t="s">
        <v>339</v>
      </c>
      <c r="E398" s="14"/>
      <c r="F398" s="43">
        <f>F399</f>
        <v>14763.4</v>
      </c>
      <c r="G398" s="43">
        <f aca="true" t="shared" si="35" ref="G398:I399">G399</f>
        <v>14763.4</v>
      </c>
      <c r="H398" s="43">
        <f t="shared" si="35"/>
        <v>0</v>
      </c>
      <c r="I398" s="54">
        <f t="shared" si="35"/>
        <v>0</v>
      </c>
    </row>
    <row r="399" spans="1:9" s="5" customFormat="1" ht="37.5">
      <c r="A399" s="55" t="s">
        <v>79</v>
      </c>
      <c r="B399" s="4" t="s">
        <v>12</v>
      </c>
      <c r="C399" s="7" t="s">
        <v>3</v>
      </c>
      <c r="D399" s="7" t="s">
        <v>340</v>
      </c>
      <c r="E399" s="7"/>
      <c r="F399" s="39">
        <f>F400</f>
        <v>14763.4</v>
      </c>
      <c r="G399" s="39">
        <f t="shared" si="35"/>
        <v>14763.4</v>
      </c>
      <c r="H399" s="39">
        <f t="shared" si="35"/>
        <v>0</v>
      </c>
      <c r="I399" s="59">
        <f t="shared" si="35"/>
        <v>0</v>
      </c>
    </row>
    <row r="400" spans="1:9" s="30" customFormat="1" ht="18.75">
      <c r="A400" s="57" t="s">
        <v>118</v>
      </c>
      <c r="B400" s="28" t="s">
        <v>12</v>
      </c>
      <c r="C400" s="29" t="s">
        <v>3</v>
      </c>
      <c r="D400" s="29" t="s">
        <v>340</v>
      </c>
      <c r="E400" s="29" t="s">
        <v>23</v>
      </c>
      <c r="F400" s="35">
        <f>SUM(G400:I400)</f>
        <v>14763.4</v>
      </c>
      <c r="G400" s="36">
        <f>14542.1+360.9+0.4+495-636.8+1.8</f>
        <v>14763.4</v>
      </c>
      <c r="H400" s="36"/>
      <c r="I400" s="58"/>
    </row>
    <row r="401" spans="1:9" s="30" customFormat="1" ht="18.75">
      <c r="A401" s="53" t="s">
        <v>382</v>
      </c>
      <c r="B401" s="13" t="s">
        <v>12</v>
      </c>
      <c r="C401" s="14" t="s">
        <v>3</v>
      </c>
      <c r="D401" s="14" t="s">
        <v>206</v>
      </c>
      <c r="E401" s="14"/>
      <c r="F401" s="43">
        <f>SUM(F402)</f>
        <v>122</v>
      </c>
      <c r="G401" s="43">
        <f>SUM(G402)</f>
        <v>122</v>
      </c>
      <c r="H401" s="43">
        <f>SUM(H402)</f>
        <v>0</v>
      </c>
      <c r="I401" s="54">
        <f>SUM(I402)</f>
        <v>0</v>
      </c>
    </row>
    <row r="402" spans="1:9" s="30" customFormat="1" ht="75">
      <c r="A402" s="87" t="s">
        <v>405</v>
      </c>
      <c r="B402" s="4" t="s">
        <v>12</v>
      </c>
      <c r="C402" s="7" t="s">
        <v>3</v>
      </c>
      <c r="D402" s="7" t="s">
        <v>406</v>
      </c>
      <c r="E402" s="7"/>
      <c r="F402" s="39">
        <f>F403</f>
        <v>122</v>
      </c>
      <c r="G402" s="39">
        <f>G403</f>
        <v>122</v>
      </c>
      <c r="H402" s="39">
        <f>H403</f>
        <v>0</v>
      </c>
      <c r="I402" s="59">
        <f>I403</f>
        <v>0</v>
      </c>
    </row>
    <row r="403" spans="1:9" s="30" customFormat="1" ht="37.5">
      <c r="A403" s="57" t="s">
        <v>124</v>
      </c>
      <c r="B403" s="28" t="s">
        <v>12</v>
      </c>
      <c r="C403" s="29" t="s">
        <v>3</v>
      </c>
      <c r="D403" s="29" t="s">
        <v>406</v>
      </c>
      <c r="E403" s="29" t="s">
        <v>20</v>
      </c>
      <c r="F403" s="35">
        <f>SUM(G403:I403)</f>
        <v>122</v>
      </c>
      <c r="G403" s="36">
        <v>122</v>
      </c>
      <c r="H403" s="36"/>
      <c r="I403" s="58"/>
    </row>
    <row r="404" spans="1:9" s="15" customFormat="1" ht="18.75">
      <c r="A404" s="53" t="s">
        <v>52</v>
      </c>
      <c r="B404" s="13" t="s">
        <v>12</v>
      </c>
      <c r="C404" s="14" t="s">
        <v>4</v>
      </c>
      <c r="D404" s="14"/>
      <c r="E404" s="14"/>
      <c r="F404" s="43">
        <f>F405+F414+F419</f>
        <v>45706.1</v>
      </c>
      <c r="G404" s="43">
        <f>G405+G414+G419</f>
        <v>17622.600000000002</v>
      </c>
      <c r="H404" s="43">
        <f>H405+H414+H419</f>
        <v>28083.5</v>
      </c>
      <c r="I404" s="54">
        <f>I405+I414+I419</f>
        <v>0</v>
      </c>
    </row>
    <row r="405" spans="1:9" s="15" customFormat="1" ht="37.5">
      <c r="A405" s="53" t="s">
        <v>108</v>
      </c>
      <c r="B405" s="13" t="s">
        <v>12</v>
      </c>
      <c r="C405" s="14" t="s">
        <v>4</v>
      </c>
      <c r="D405" s="14" t="s">
        <v>248</v>
      </c>
      <c r="E405" s="14"/>
      <c r="F405" s="43">
        <f>F406+F408+F410+F412</f>
        <v>23849.2</v>
      </c>
      <c r="G405" s="43">
        <f>G406+G408+G410+G412</f>
        <v>13305.6</v>
      </c>
      <c r="H405" s="43">
        <f>H406+H408+H410+H412</f>
        <v>10543.6</v>
      </c>
      <c r="I405" s="54">
        <f>I406+I408+I410+I412</f>
        <v>0</v>
      </c>
    </row>
    <row r="406" spans="1:9" s="5" customFormat="1" ht="37.5">
      <c r="A406" s="55" t="s">
        <v>79</v>
      </c>
      <c r="B406" s="4" t="s">
        <v>12</v>
      </c>
      <c r="C406" s="7" t="s">
        <v>4</v>
      </c>
      <c r="D406" s="7" t="s">
        <v>249</v>
      </c>
      <c r="E406" s="7"/>
      <c r="F406" s="42">
        <f>F407</f>
        <v>13305.6</v>
      </c>
      <c r="G406" s="42">
        <f>G407</f>
        <v>13305.6</v>
      </c>
      <c r="H406" s="42">
        <f>H407</f>
        <v>0</v>
      </c>
      <c r="I406" s="56">
        <f>I407</f>
        <v>0</v>
      </c>
    </row>
    <row r="407" spans="1:9" s="30" customFormat="1" ht="18.75">
      <c r="A407" s="57" t="s">
        <v>118</v>
      </c>
      <c r="B407" s="28" t="s">
        <v>12</v>
      </c>
      <c r="C407" s="29" t="s">
        <v>4</v>
      </c>
      <c r="D407" s="29" t="s">
        <v>249</v>
      </c>
      <c r="E407" s="29" t="s">
        <v>23</v>
      </c>
      <c r="F407" s="35">
        <f>SUM(G407:I407)</f>
        <v>13305.6</v>
      </c>
      <c r="G407" s="36">
        <f>11278.4+97.6+2025.6-201+105</f>
        <v>13305.6</v>
      </c>
      <c r="H407" s="36"/>
      <c r="I407" s="58"/>
    </row>
    <row r="408" spans="1:9" s="30" customFormat="1" ht="37.5">
      <c r="A408" s="55" t="s">
        <v>314</v>
      </c>
      <c r="B408" s="28" t="s">
        <v>12</v>
      </c>
      <c r="C408" s="29" t="s">
        <v>4</v>
      </c>
      <c r="D408" s="29" t="s">
        <v>250</v>
      </c>
      <c r="E408" s="29"/>
      <c r="F408" s="42">
        <f>F409</f>
        <v>10543.6</v>
      </c>
      <c r="G408" s="42">
        <f>G409</f>
        <v>0</v>
      </c>
      <c r="H408" s="42">
        <f>H409</f>
        <v>10543.6</v>
      </c>
      <c r="I408" s="56">
        <f>I409</f>
        <v>0</v>
      </c>
    </row>
    <row r="409" spans="1:9" s="30" customFormat="1" ht="18.75">
      <c r="A409" s="57" t="s">
        <v>118</v>
      </c>
      <c r="B409" s="28" t="s">
        <v>12</v>
      </c>
      <c r="C409" s="29" t="s">
        <v>4</v>
      </c>
      <c r="D409" s="29" t="s">
        <v>250</v>
      </c>
      <c r="E409" s="29" t="s">
        <v>23</v>
      </c>
      <c r="F409" s="35">
        <f>SUM(G409:I409)</f>
        <v>10543.6</v>
      </c>
      <c r="G409" s="36"/>
      <c r="H409" s="36">
        <v>10543.6</v>
      </c>
      <c r="I409" s="58"/>
    </row>
    <row r="410" spans="1:9" s="30" customFormat="1" ht="56.25" hidden="1">
      <c r="A410" s="55" t="s">
        <v>302</v>
      </c>
      <c r="B410" s="9" t="s">
        <v>12</v>
      </c>
      <c r="C410" s="10" t="s">
        <v>4</v>
      </c>
      <c r="D410" s="10" t="s">
        <v>338</v>
      </c>
      <c r="E410" s="10"/>
      <c r="F410" s="39">
        <f>F411</f>
        <v>0</v>
      </c>
      <c r="G410" s="39">
        <f>G411</f>
        <v>0</v>
      </c>
      <c r="H410" s="39">
        <f>H411</f>
        <v>0</v>
      </c>
      <c r="I410" s="59">
        <f>I411</f>
        <v>0</v>
      </c>
    </row>
    <row r="411" spans="1:9" s="30" customFormat="1" ht="18.75" hidden="1">
      <c r="A411" s="57" t="s">
        <v>318</v>
      </c>
      <c r="B411" s="28" t="s">
        <v>12</v>
      </c>
      <c r="C411" s="29" t="s">
        <v>4</v>
      </c>
      <c r="D411" s="29" t="s">
        <v>338</v>
      </c>
      <c r="E411" s="29" t="s">
        <v>23</v>
      </c>
      <c r="F411" s="35">
        <f>SUM(G411:I411)</f>
        <v>0</v>
      </c>
      <c r="G411" s="36"/>
      <c r="H411" s="36"/>
      <c r="I411" s="58"/>
    </row>
    <row r="412" spans="1:9" s="30" customFormat="1" ht="112.5" hidden="1">
      <c r="A412" s="48" t="s">
        <v>361</v>
      </c>
      <c r="B412" s="28" t="s">
        <v>12</v>
      </c>
      <c r="C412" s="29" t="s">
        <v>4</v>
      </c>
      <c r="D412" s="29" t="s">
        <v>353</v>
      </c>
      <c r="E412" s="29"/>
      <c r="F412" s="35">
        <f>F413</f>
        <v>0</v>
      </c>
      <c r="G412" s="35">
        <f>G413</f>
        <v>0</v>
      </c>
      <c r="H412" s="35">
        <f>H413</f>
        <v>0</v>
      </c>
      <c r="I412" s="61">
        <f>I413</f>
        <v>0</v>
      </c>
    </row>
    <row r="413" spans="1:9" s="30" customFormat="1" ht="18.75" hidden="1">
      <c r="A413" s="57" t="s">
        <v>118</v>
      </c>
      <c r="B413" s="28" t="s">
        <v>354</v>
      </c>
      <c r="C413" s="29" t="s">
        <v>4</v>
      </c>
      <c r="D413" s="29" t="s">
        <v>353</v>
      </c>
      <c r="E413" s="29" t="s">
        <v>23</v>
      </c>
      <c r="F413" s="35">
        <f>SUM(G413:I413)</f>
        <v>0</v>
      </c>
      <c r="G413" s="36"/>
      <c r="H413" s="36"/>
      <c r="I413" s="58"/>
    </row>
    <row r="414" spans="1:9" s="15" customFormat="1" ht="25.5" customHeight="1">
      <c r="A414" s="53" t="s">
        <v>109</v>
      </c>
      <c r="B414" s="13" t="s">
        <v>12</v>
      </c>
      <c r="C414" s="14" t="s">
        <v>4</v>
      </c>
      <c r="D414" s="14" t="s">
        <v>251</v>
      </c>
      <c r="E414" s="14"/>
      <c r="F414" s="43">
        <f>SUM(F415,F417)</f>
        <v>21821.5</v>
      </c>
      <c r="G414" s="43">
        <f>SUM(G415,G417)</f>
        <v>4281.6</v>
      </c>
      <c r="H414" s="43">
        <f>SUM(H415,H417)</f>
        <v>17539.899999999998</v>
      </c>
      <c r="I414" s="54">
        <f>SUM(I415,I417)</f>
        <v>0</v>
      </c>
    </row>
    <row r="415" spans="1:9" s="5" customFormat="1" ht="37.5">
      <c r="A415" s="55" t="s">
        <v>79</v>
      </c>
      <c r="B415" s="4" t="s">
        <v>12</v>
      </c>
      <c r="C415" s="7" t="s">
        <v>4</v>
      </c>
      <c r="D415" s="7" t="s">
        <v>252</v>
      </c>
      <c r="E415" s="7"/>
      <c r="F415" s="39">
        <f>F416</f>
        <v>4281.6</v>
      </c>
      <c r="G415" s="39">
        <f>G416</f>
        <v>4281.6</v>
      </c>
      <c r="H415" s="39">
        <f>H416</f>
        <v>0</v>
      </c>
      <c r="I415" s="59">
        <f>I416</f>
        <v>0</v>
      </c>
    </row>
    <row r="416" spans="1:9" s="30" customFormat="1" ht="18.75">
      <c r="A416" s="57" t="s">
        <v>118</v>
      </c>
      <c r="B416" s="28" t="s">
        <v>12</v>
      </c>
      <c r="C416" s="29" t="s">
        <v>4</v>
      </c>
      <c r="D416" s="29" t="s">
        <v>252</v>
      </c>
      <c r="E416" s="29" t="s">
        <v>23</v>
      </c>
      <c r="F416" s="35">
        <f>SUM(G416:I416)</f>
        <v>4281.6</v>
      </c>
      <c r="G416" s="36">
        <f>4431.6+294-150-294</f>
        <v>4281.6</v>
      </c>
      <c r="H416" s="36"/>
      <c r="I416" s="58"/>
    </row>
    <row r="417" spans="1:9" s="30" customFormat="1" ht="37.5">
      <c r="A417" s="55" t="s">
        <v>314</v>
      </c>
      <c r="B417" s="28" t="s">
        <v>12</v>
      </c>
      <c r="C417" s="29" t="s">
        <v>4</v>
      </c>
      <c r="D417" s="29" t="s">
        <v>253</v>
      </c>
      <c r="E417" s="29"/>
      <c r="F417" s="39">
        <f>F418</f>
        <v>17539.899999999998</v>
      </c>
      <c r="G417" s="39">
        <f>G418</f>
        <v>0</v>
      </c>
      <c r="H417" s="39">
        <f>H418</f>
        <v>17539.899999999998</v>
      </c>
      <c r="I417" s="59">
        <f>I418</f>
        <v>0</v>
      </c>
    </row>
    <row r="418" spans="1:9" s="30" customFormat="1" ht="18.75">
      <c r="A418" s="57" t="s">
        <v>118</v>
      </c>
      <c r="B418" s="28" t="s">
        <v>12</v>
      </c>
      <c r="C418" s="29" t="s">
        <v>4</v>
      </c>
      <c r="D418" s="29" t="s">
        <v>253</v>
      </c>
      <c r="E418" s="29" t="s">
        <v>23</v>
      </c>
      <c r="F418" s="35">
        <f>SUM(G418:I418)</f>
        <v>17539.899999999998</v>
      </c>
      <c r="G418" s="36"/>
      <c r="H418" s="36">
        <f>17365.8+174.1</f>
        <v>17539.899999999998</v>
      </c>
      <c r="I418" s="58"/>
    </row>
    <row r="419" spans="1:9" s="30" customFormat="1" ht="18.75">
      <c r="A419" s="53" t="s">
        <v>382</v>
      </c>
      <c r="B419" s="13" t="s">
        <v>12</v>
      </c>
      <c r="C419" s="14" t="s">
        <v>4</v>
      </c>
      <c r="D419" s="14" t="s">
        <v>206</v>
      </c>
      <c r="E419" s="14"/>
      <c r="F419" s="43">
        <f>SUM(F420)</f>
        <v>35.4</v>
      </c>
      <c r="G419" s="43">
        <f>SUM(G420)</f>
        <v>35.4</v>
      </c>
      <c r="H419" s="43">
        <f>SUM(H420)</f>
        <v>0</v>
      </c>
      <c r="I419" s="54">
        <f>SUM(I420)</f>
        <v>0</v>
      </c>
    </row>
    <row r="420" spans="1:9" s="30" customFormat="1" ht="75">
      <c r="A420" s="87" t="s">
        <v>405</v>
      </c>
      <c r="B420" s="4" t="s">
        <v>12</v>
      </c>
      <c r="C420" s="7" t="s">
        <v>4</v>
      </c>
      <c r="D420" s="7" t="s">
        <v>406</v>
      </c>
      <c r="E420" s="7"/>
      <c r="F420" s="39">
        <f>F421</f>
        <v>35.4</v>
      </c>
      <c r="G420" s="39">
        <f>G421</f>
        <v>35.4</v>
      </c>
      <c r="H420" s="39">
        <f>H421</f>
        <v>0</v>
      </c>
      <c r="I420" s="59">
        <f>I421</f>
        <v>0</v>
      </c>
    </row>
    <row r="421" spans="1:9" s="30" customFormat="1" ht="37.5">
      <c r="A421" s="57" t="s">
        <v>124</v>
      </c>
      <c r="B421" s="28" t="s">
        <v>12</v>
      </c>
      <c r="C421" s="29" t="s">
        <v>4</v>
      </c>
      <c r="D421" s="29" t="s">
        <v>406</v>
      </c>
      <c r="E421" s="29" t="s">
        <v>20</v>
      </c>
      <c r="F421" s="35">
        <f>SUM(G421:I421)</f>
        <v>35.4</v>
      </c>
      <c r="G421" s="36">
        <v>35.4</v>
      </c>
      <c r="H421" s="36"/>
      <c r="I421" s="58"/>
    </row>
    <row r="422" spans="1:9" s="15" customFormat="1" ht="37.5">
      <c r="A422" s="53" t="s">
        <v>342</v>
      </c>
      <c r="B422" s="13" t="s">
        <v>12</v>
      </c>
      <c r="C422" s="14" t="s">
        <v>5</v>
      </c>
      <c r="D422" s="14"/>
      <c r="E422" s="14"/>
      <c r="F422" s="43">
        <f>F423</f>
        <v>2210.2</v>
      </c>
      <c r="G422" s="43">
        <f>G423</f>
        <v>2210.2</v>
      </c>
      <c r="H422" s="43">
        <f>H423</f>
        <v>0</v>
      </c>
      <c r="I422" s="54">
        <f>I423</f>
        <v>0</v>
      </c>
    </row>
    <row r="423" spans="1:9" s="15" customFormat="1" ht="38.25" customHeight="1">
      <c r="A423" s="53" t="s">
        <v>108</v>
      </c>
      <c r="B423" s="13" t="s">
        <v>12</v>
      </c>
      <c r="C423" s="14" t="s">
        <v>5</v>
      </c>
      <c r="D423" s="14" t="s">
        <v>248</v>
      </c>
      <c r="E423" s="14"/>
      <c r="F423" s="43">
        <f>F424+F426</f>
        <v>2210.2</v>
      </c>
      <c r="G423" s="43">
        <f>G424+G426</f>
        <v>2210.2</v>
      </c>
      <c r="H423" s="43">
        <f>H424+H426</f>
        <v>0</v>
      </c>
      <c r="I423" s="54">
        <f>I424+I426</f>
        <v>0</v>
      </c>
    </row>
    <row r="424" spans="1:9" s="5" customFormat="1" ht="37.5">
      <c r="A424" s="55" t="s">
        <v>79</v>
      </c>
      <c r="B424" s="4" t="s">
        <v>12</v>
      </c>
      <c r="C424" s="7" t="s">
        <v>5</v>
      </c>
      <c r="D424" s="7" t="s">
        <v>249</v>
      </c>
      <c r="E424" s="7"/>
      <c r="F424" s="39">
        <f>F425</f>
        <v>2210.2</v>
      </c>
      <c r="G424" s="39">
        <f>G425</f>
        <v>2210.2</v>
      </c>
      <c r="H424" s="39">
        <f>H425</f>
        <v>0</v>
      </c>
      <c r="I424" s="59">
        <f>I425</f>
        <v>0</v>
      </c>
    </row>
    <row r="425" spans="1:9" s="5" customFormat="1" ht="18.75">
      <c r="A425" s="57" t="s">
        <v>118</v>
      </c>
      <c r="B425" s="4" t="s">
        <v>12</v>
      </c>
      <c r="C425" s="7" t="s">
        <v>5</v>
      </c>
      <c r="D425" s="7" t="s">
        <v>249</v>
      </c>
      <c r="E425" s="7" t="s">
        <v>23</v>
      </c>
      <c r="F425" s="35">
        <f>SUM(G425:I425)</f>
        <v>2210.2</v>
      </c>
      <c r="G425" s="39">
        <f>2450.1-6-233.9</f>
        <v>2210.2</v>
      </c>
      <c r="H425" s="39"/>
      <c r="I425" s="59"/>
    </row>
    <row r="426" spans="1:9" s="30" customFormat="1" ht="37.5" hidden="1">
      <c r="A426" s="55" t="s">
        <v>314</v>
      </c>
      <c r="B426" s="28" t="s">
        <v>12</v>
      </c>
      <c r="C426" s="29" t="s">
        <v>5</v>
      </c>
      <c r="D426" s="29" t="s">
        <v>250</v>
      </c>
      <c r="E426" s="29"/>
      <c r="F426" s="39">
        <f>F427</f>
        <v>0</v>
      </c>
      <c r="G426" s="39">
        <f>G427</f>
        <v>0</v>
      </c>
      <c r="H426" s="39">
        <f>H427</f>
        <v>0</v>
      </c>
      <c r="I426" s="59">
        <f>I427</f>
        <v>0</v>
      </c>
    </row>
    <row r="427" spans="1:9" s="30" customFormat="1" ht="18.75" hidden="1">
      <c r="A427" s="57" t="s">
        <v>118</v>
      </c>
      <c r="B427" s="28" t="s">
        <v>12</v>
      </c>
      <c r="C427" s="29" t="s">
        <v>5</v>
      </c>
      <c r="D427" s="29" t="s">
        <v>250</v>
      </c>
      <c r="E427" s="29" t="s">
        <v>23</v>
      </c>
      <c r="F427" s="35">
        <f>SUM(G427:I427)</f>
        <v>0</v>
      </c>
      <c r="G427" s="36"/>
      <c r="H427" s="36"/>
      <c r="I427" s="58"/>
    </row>
    <row r="428" spans="1:9" s="15" customFormat="1" ht="18.75">
      <c r="A428" s="53" t="s">
        <v>160</v>
      </c>
      <c r="B428" s="13" t="s">
        <v>12</v>
      </c>
      <c r="C428" s="14" t="s">
        <v>7</v>
      </c>
      <c r="D428" s="14"/>
      <c r="E428" s="14"/>
      <c r="F428" s="43">
        <f>SUM(F432,F429)</f>
        <v>52128.6</v>
      </c>
      <c r="G428" s="43">
        <f>SUM(G432,G429)</f>
        <v>52128.6</v>
      </c>
      <c r="H428" s="43">
        <f>SUM(H432,H429)</f>
        <v>0</v>
      </c>
      <c r="I428" s="54">
        <f>SUM(I432,I429)</f>
        <v>0</v>
      </c>
    </row>
    <row r="429" spans="1:9" s="15" customFormat="1" ht="37.5">
      <c r="A429" s="53" t="s">
        <v>108</v>
      </c>
      <c r="B429" s="13" t="s">
        <v>12</v>
      </c>
      <c r="C429" s="14" t="s">
        <v>7</v>
      </c>
      <c r="D429" s="14" t="s">
        <v>248</v>
      </c>
      <c r="E429" s="14"/>
      <c r="F429" s="43">
        <f>F430</f>
        <v>46896.6</v>
      </c>
      <c r="G429" s="43">
        <f aca="true" t="shared" si="36" ref="G429:I430">G430</f>
        <v>46896.6</v>
      </c>
      <c r="H429" s="43">
        <f t="shared" si="36"/>
        <v>0</v>
      </c>
      <c r="I429" s="54">
        <f t="shared" si="36"/>
        <v>0</v>
      </c>
    </row>
    <row r="430" spans="1:9" s="15" customFormat="1" ht="37.5">
      <c r="A430" s="55" t="s">
        <v>79</v>
      </c>
      <c r="B430" s="4" t="s">
        <v>12</v>
      </c>
      <c r="C430" s="7" t="s">
        <v>7</v>
      </c>
      <c r="D430" s="7" t="s">
        <v>249</v>
      </c>
      <c r="E430" s="7"/>
      <c r="F430" s="42">
        <f>F431</f>
        <v>46896.6</v>
      </c>
      <c r="G430" s="42">
        <f t="shared" si="36"/>
        <v>46896.6</v>
      </c>
      <c r="H430" s="42">
        <f t="shared" si="36"/>
        <v>0</v>
      </c>
      <c r="I430" s="56">
        <f t="shared" si="36"/>
        <v>0</v>
      </c>
    </row>
    <row r="431" spans="1:9" s="38" customFormat="1" ht="19.5">
      <c r="A431" s="57" t="s">
        <v>118</v>
      </c>
      <c r="B431" s="28" t="s">
        <v>12</v>
      </c>
      <c r="C431" s="29" t="s">
        <v>7</v>
      </c>
      <c r="D431" s="29" t="s">
        <v>249</v>
      </c>
      <c r="E431" s="29" t="s">
        <v>23</v>
      </c>
      <c r="F431" s="35">
        <f>SUM(G431:I431)</f>
        <v>46896.6</v>
      </c>
      <c r="G431" s="35">
        <f>47079.8-183.9+0.7</f>
        <v>46896.6</v>
      </c>
      <c r="H431" s="35"/>
      <c r="I431" s="61"/>
    </row>
    <row r="432" spans="1:9" s="15" customFormat="1" ht="21.75" customHeight="1">
      <c r="A432" s="53" t="s">
        <v>132</v>
      </c>
      <c r="B432" s="13" t="s">
        <v>12</v>
      </c>
      <c r="C432" s="14" t="s">
        <v>7</v>
      </c>
      <c r="D432" s="14" t="s">
        <v>224</v>
      </c>
      <c r="E432" s="14"/>
      <c r="F432" s="43">
        <f aca="true" t="shared" si="37" ref="F432:I434">F433</f>
        <v>5232</v>
      </c>
      <c r="G432" s="43">
        <f t="shared" si="37"/>
        <v>5232</v>
      </c>
      <c r="H432" s="43">
        <f t="shared" si="37"/>
        <v>0</v>
      </c>
      <c r="I432" s="54">
        <f t="shared" si="37"/>
        <v>0</v>
      </c>
    </row>
    <row r="433" spans="1:9" s="5" customFormat="1" ht="75">
      <c r="A433" s="55" t="s">
        <v>133</v>
      </c>
      <c r="B433" s="4" t="s">
        <v>12</v>
      </c>
      <c r="C433" s="7" t="s">
        <v>7</v>
      </c>
      <c r="D433" s="7" t="s">
        <v>254</v>
      </c>
      <c r="E433" s="7"/>
      <c r="F433" s="39">
        <f t="shared" si="37"/>
        <v>5232</v>
      </c>
      <c r="G433" s="39">
        <f t="shared" si="37"/>
        <v>5232</v>
      </c>
      <c r="H433" s="39">
        <f t="shared" si="37"/>
        <v>0</v>
      </c>
      <c r="I433" s="59">
        <f t="shared" si="37"/>
        <v>0</v>
      </c>
    </row>
    <row r="434" spans="1:9" s="5" customFormat="1" ht="75">
      <c r="A434" s="55" t="s">
        <v>133</v>
      </c>
      <c r="B434" s="4" t="s">
        <v>12</v>
      </c>
      <c r="C434" s="7" t="s">
        <v>7</v>
      </c>
      <c r="D434" s="7" t="s">
        <v>301</v>
      </c>
      <c r="E434" s="7"/>
      <c r="F434" s="39">
        <f t="shared" si="37"/>
        <v>5232</v>
      </c>
      <c r="G434" s="39">
        <f t="shared" si="37"/>
        <v>5232</v>
      </c>
      <c r="H434" s="39">
        <f t="shared" si="37"/>
        <v>0</v>
      </c>
      <c r="I434" s="59">
        <f t="shared" si="37"/>
        <v>0</v>
      </c>
    </row>
    <row r="435" spans="1:9" s="30" customFormat="1" ht="18.75">
      <c r="A435" s="57" t="s">
        <v>118</v>
      </c>
      <c r="B435" s="28" t="s">
        <v>12</v>
      </c>
      <c r="C435" s="29" t="s">
        <v>7</v>
      </c>
      <c r="D435" s="29" t="s">
        <v>301</v>
      </c>
      <c r="E435" s="29" t="s">
        <v>23</v>
      </c>
      <c r="F435" s="35">
        <f>SUM(G435:I435)</f>
        <v>5232</v>
      </c>
      <c r="G435" s="36">
        <v>5232</v>
      </c>
      <c r="H435" s="36"/>
      <c r="I435" s="58"/>
    </row>
    <row r="436" spans="1:9" s="15" customFormat="1" ht="42" customHeight="1" hidden="1">
      <c r="A436" s="53" t="s">
        <v>161</v>
      </c>
      <c r="B436" s="13" t="s">
        <v>12</v>
      </c>
      <c r="C436" s="14" t="s">
        <v>9</v>
      </c>
      <c r="D436" s="14"/>
      <c r="E436" s="14"/>
      <c r="F436" s="43">
        <f>SUM(F437)</f>
        <v>0</v>
      </c>
      <c r="G436" s="43">
        <f>SUM(G437)</f>
        <v>0</v>
      </c>
      <c r="H436" s="43">
        <f>SUM(H437)</f>
        <v>0</v>
      </c>
      <c r="I436" s="54">
        <f>SUM(I437)</f>
        <v>0</v>
      </c>
    </row>
    <row r="437" spans="1:9" s="15" customFormat="1" ht="21.75" customHeight="1" hidden="1">
      <c r="A437" s="53" t="s">
        <v>162</v>
      </c>
      <c r="B437" s="13" t="s">
        <v>12</v>
      </c>
      <c r="C437" s="14" t="s">
        <v>9</v>
      </c>
      <c r="D437" s="14" t="s">
        <v>255</v>
      </c>
      <c r="E437" s="14"/>
      <c r="F437" s="43">
        <f aca="true" t="shared" si="38" ref="F437:I438">F438</f>
        <v>0</v>
      </c>
      <c r="G437" s="43">
        <f t="shared" si="38"/>
        <v>0</v>
      </c>
      <c r="H437" s="43">
        <f t="shared" si="38"/>
        <v>0</v>
      </c>
      <c r="I437" s="54">
        <f t="shared" si="38"/>
        <v>0</v>
      </c>
    </row>
    <row r="438" spans="1:9" s="5" customFormat="1" ht="37.5" hidden="1">
      <c r="A438" s="55" t="s">
        <v>79</v>
      </c>
      <c r="B438" s="4" t="s">
        <v>12</v>
      </c>
      <c r="C438" s="7" t="s">
        <v>9</v>
      </c>
      <c r="D438" s="7" t="s">
        <v>256</v>
      </c>
      <c r="E438" s="7"/>
      <c r="F438" s="39">
        <f t="shared" si="38"/>
        <v>0</v>
      </c>
      <c r="G438" s="39">
        <f t="shared" si="38"/>
        <v>0</v>
      </c>
      <c r="H438" s="39">
        <f t="shared" si="38"/>
        <v>0</v>
      </c>
      <c r="I438" s="59">
        <f t="shared" si="38"/>
        <v>0</v>
      </c>
    </row>
    <row r="439" spans="1:9" s="30" customFormat="1" ht="18.75" hidden="1">
      <c r="A439" s="57" t="s">
        <v>118</v>
      </c>
      <c r="B439" s="28" t="s">
        <v>12</v>
      </c>
      <c r="C439" s="29" t="s">
        <v>9</v>
      </c>
      <c r="D439" s="29" t="s">
        <v>256</v>
      </c>
      <c r="E439" s="29" t="s">
        <v>23</v>
      </c>
      <c r="F439" s="35">
        <f>SUM(G439:I439)</f>
        <v>0</v>
      </c>
      <c r="G439" s="36"/>
      <c r="H439" s="36"/>
      <c r="I439" s="58"/>
    </row>
    <row r="440" spans="1:9" s="15" customFormat="1" ht="18.75">
      <c r="A440" s="53" t="s">
        <v>53</v>
      </c>
      <c r="B440" s="13" t="s">
        <v>12</v>
      </c>
      <c r="C440" s="14" t="s">
        <v>13</v>
      </c>
      <c r="D440" s="14"/>
      <c r="E440" s="14"/>
      <c r="F440" s="43">
        <f>SUM(F441,F446)</f>
        <v>7227</v>
      </c>
      <c r="G440" s="43">
        <f>SUM(G441,G446)</f>
        <v>6977</v>
      </c>
      <c r="H440" s="43">
        <f>SUM(H441,H446)</f>
        <v>250</v>
      </c>
      <c r="I440" s="54">
        <f>SUM(I441,I446)</f>
        <v>0</v>
      </c>
    </row>
    <row r="441" spans="1:9" s="15" customFormat="1" ht="20.25" customHeight="1">
      <c r="A441" s="53" t="s">
        <v>110</v>
      </c>
      <c r="B441" s="13" t="s">
        <v>12</v>
      </c>
      <c r="C441" s="14" t="s">
        <v>13</v>
      </c>
      <c r="D441" s="14" t="s">
        <v>257</v>
      </c>
      <c r="E441" s="14"/>
      <c r="F441" s="43">
        <f>SUM(F442,F444)</f>
        <v>3298.4</v>
      </c>
      <c r="G441" s="43">
        <f>SUM(G442,G444)</f>
        <v>3148.4</v>
      </c>
      <c r="H441" s="43">
        <f>SUM(H442,H444)</f>
        <v>150</v>
      </c>
      <c r="I441" s="54">
        <f>SUM(I442,I444)</f>
        <v>0</v>
      </c>
    </row>
    <row r="442" spans="1:9" s="5" customFormat="1" ht="37.5">
      <c r="A442" s="55" t="s">
        <v>79</v>
      </c>
      <c r="B442" s="4" t="s">
        <v>12</v>
      </c>
      <c r="C442" s="7" t="s">
        <v>13</v>
      </c>
      <c r="D442" s="7" t="s">
        <v>258</v>
      </c>
      <c r="E442" s="7"/>
      <c r="F442" s="42">
        <f>F443</f>
        <v>3148.4</v>
      </c>
      <c r="G442" s="42">
        <f>G443</f>
        <v>3148.4</v>
      </c>
      <c r="H442" s="42">
        <f>H443</f>
        <v>0</v>
      </c>
      <c r="I442" s="56">
        <f>I443</f>
        <v>0</v>
      </c>
    </row>
    <row r="443" spans="1:9" s="30" customFormat="1" ht="18.75">
      <c r="A443" s="57" t="s">
        <v>118</v>
      </c>
      <c r="B443" s="28" t="s">
        <v>12</v>
      </c>
      <c r="C443" s="29" t="s">
        <v>13</v>
      </c>
      <c r="D443" s="29" t="s">
        <v>258</v>
      </c>
      <c r="E443" s="29" t="s">
        <v>23</v>
      </c>
      <c r="F443" s="35">
        <f>SUM(G443:I443)</f>
        <v>3148.4</v>
      </c>
      <c r="G443" s="35">
        <f>2658.4+490</f>
        <v>3148.4</v>
      </c>
      <c r="H443" s="35"/>
      <c r="I443" s="61"/>
    </row>
    <row r="444" spans="1:9" s="30" customFormat="1" ht="37.5">
      <c r="A444" s="55" t="s">
        <v>314</v>
      </c>
      <c r="B444" s="28" t="s">
        <v>12</v>
      </c>
      <c r="C444" s="29" t="s">
        <v>13</v>
      </c>
      <c r="D444" s="29" t="s">
        <v>259</v>
      </c>
      <c r="E444" s="29"/>
      <c r="F444" s="39">
        <f>F445</f>
        <v>150</v>
      </c>
      <c r="G444" s="39">
        <f>G445</f>
        <v>0</v>
      </c>
      <c r="H444" s="39">
        <f>H445</f>
        <v>150</v>
      </c>
      <c r="I444" s="59">
        <f>I445</f>
        <v>0</v>
      </c>
    </row>
    <row r="445" spans="1:9" s="30" customFormat="1" ht="18.75">
      <c r="A445" s="57" t="s">
        <v>118</v>
      </c>
      <c r="B445" s="28" t="s">
        <v>12</v>
      </c>
      <c r="C445" s="29" t="s">
        <v>13</v>
      </c>
      <c r="D445" s="29" t="s">
        <v>259</v>
      </c>
      <c r="E445" s="29" t="s">
        <v>23</v>
      </c>
      <c r="F445" s="35">
        <f>SUM(G445:I445)</f>
        <v>150</v>
      </c>
      <c r="G445" s="36"/>
      <c r="H445" s="36">
        <v>150</v>
      </c>
      <c r="I445" s="58"/>
    </row>
    <row r="446" spans="1:9" s="15" customFormat="1" ht="37.5">
      <c r="A446" s="53" t="s">
        <v>111</v>
      </c>
      <c r="B446" s="13" t="s">
        <v>12</v>
      </c>
      <c r="C446" s="14" t="s">
        <v>13</v>
      </c>
      <c r="D446" s="14" t="s">
        <v>260</v>
      </c>
      <c r="E446" s="14"/>
      <c r="F446" s="43">
        <f>F447+F449</f>
        <v>3928.6</v>
      </c>
      <c r="G446" s="43">
        <f>G447+G449</f>
        <v>3828.6</v>
      </c>
      <c r="H446" s="43">
        <f>H447+H449</f>
        <v>100</v>
      </c>
      <c r="I446" s="54">
        <f>I447+I449</f>
        <v>0</v>
      </c>
    </row>
    <row r="447" spans="1:9" s="5" customFormat="1" ht="37.5">
      <c r="A447" s="55" t="s">
        <v>112</v>
      </c>
      <c r="B447" s="4" t="s">
        <v>12</v>
      </c>
      <c r="C447" s="7" t="s">
        <v>13</v>
      </c>
      <c r="D447" s="7" t="s">
        <v>261</v>
      </c>
      <c r="E447" s="7"/>
      <c r="F447" s="42">
        <f>F448</f>
        <v>3828.6</v>
      </c>
      <c r="G447" s="42">
        <f>G448</f>
        <v>3828.6</v>
      </c>
      <c r="H447" s="42">
        <f>H448</f>
        <v>0</v>
      </c>
      <c r="I447" s="56">
        <f>I448</f>
        <v>0</v>
      </c>
    </row>
    <row r="448" spans="1:9" s="30" customFormat="1" ht="37.5">
      <c r="A448" s="57" t="s">
        <v>124</v>
      </c>
      <c r="B448" s="28" t="s">
        <v>12</v>
      </c>
      <c r="C448" s="29" t="s">
        <v>13</v>
      </c>
      <c r="D448" s="29" t="s">
        <v>261</v>
      </c>
      <c r="E448" s="29" t="s">
        <v>20</v>
      </c>
      <c r="F448" s="35">
        <f>SUM(G448:I448)</f>
        <v>3828.6</v>
      </c>
      <c r="G448" s="35">
        <f>3258+558+12.6</f>
        <v>3828.6</v>
      </c>
      <c r="H448" s="35"/>
      <c r="I448" s="61"/>
    </row>
    <row r="449" spans="1:9" s="30" customFormat="1" ht="56.25">
      <c r="A449" s="55" t="s">
        <v>366</v>
      </c>
      <c r="B449" s="4" t="s">
        <v>12</v>
      </c>
      <c r="C449" s="7" t="s">
        <v>13</v>
      </c>
      <c r="D449" s="7" t="s">
        <v>367</v>
      </c>
      <c r="E449" s="7"/>
      <c r="F449" s="42">
        <f>F450</f>
        <v>100</v>
      </c>
      <c r="G449" s="42">
        <f>G450</f>
        <v>0</v>
      </c>
      <c r="H449" s="42">
        <f>H450</f>
        <v>100</v>
      </c>
      <c r="I449" s="56">
        <f>I450</f>
        <v>0</v>
      </c>
    </row>
    <row r="450" spans="1:9" s="30" customFormat="1" ht="37.5">
      <c r="A450" s="57" t="s">
        <v>124</v>
      </c>
      <c r="B450" s="28" t="s">
        <v>12</v>
      </c>
      <c r="C450" s="29" t="s">
        <v>13</v>
      </c>
      <c r="D450" s="29" t="s">
        <v>367</v>
      </c>
      <c r="E450" s="29" t="s">
        <v>20</v>
      </c>
      <c r="F450" s="35">
        <f>SUM(G450:I450)</f>
        <v>100</v>
      </c>
      <c r="G450" s="35"/>
      <c r="H450" s="35">
        <v>100</v>
      </c>
      <c r="I450" s="61"/>
    </row>
    <row r="451" spans="1:9" s="15" customFormat="1" ht="37.5">
      <c r="A451" s="53" t="s">
        <v>147</v>
      </c>
      <c r="B451" s="13" t="s">
        <v>12</v>
      </c>
      <c r="C451" s="14" t="s">
        <v>15</v>
      </c>
      <c r="D451" s="14"/>
      <c r="E451" s="14"/>
      <c r="F451" s="43">
        <f>SUM(F452,F455,F458,F463,F471,F479,F482,F485,F476)</f>
        <v>23509.9</v>
      </c>
      <c r="G451" s="43">
        <f>SUM(G452,G455,G458,G463,G471,G479,G482,G485,G476)</f>
        <v>23337.7</v>
      </c>
      <c r="H451" s="43">
        <f>SUM(H452,H455,H458,H463,H471,H479,H482,H485,H476)</f>
        <v>172.2</v>
      </c>
      <c r="I451" s="54">
        <f>SUM(I452,I455,I458,I463,I471,I479,I482,I485,I476)</f>
        <v>0</v>
      </c>
    </row>
    <row r="452" spans="1:9" s="15" customFormat="1" ht="75">
      <c r="A452" s="53" t="s">
        <v>57</v>
      </c>
      <c r="B452" s="13" t="s">
        <v>12</v>
      </c>
      <c r="C452" s="14" t="s">
        <v>15</v>
      </c>
      <c r="D452" s="14" t="s">
        <v>165</v>
      </c>
      <c r="E452" s="14"/>
      <c r="F452" s="43">
        <f aca="true" t="shared" si="39" ref="F452:I453">F453</f>
        <v>1188.4</v>
      </c>
      <c r="G452" s="43">
        <f t="shared" si="39"/>
        <v>1188.4</v>
      </c>
      <c r="H452" s="43">
        <f t="shared" si="39"/>
        <v>0</v>
      </c>
      <c r="I452" s="54">
        <f t="shared" si="39"/>
        <v>0</v>
      </c>
    </row>
    <row r="453" spans="1:9" s="5" customFormat="1" ht="18.75">
      <c r="A453" s="55" t="s">
        <v>59</v>
      </c>
      <c r="B453" s="4" t="s">
        <v>12</v>
      </c>
      <c r="C453" s="7" t="s">
        <v>15</v>
      </c>
      <c r="D453" s="7" t="s">
        <v>167</v>
      </c>
      <c r="E453" s="7"/>
      <c r="F453" s="42">
        <f t="shared" si="39"/>
        <v>1188.4</v>
      </c>
      <c r="G453" s="42">
        <f t="shared" si="39"/>
        <v>1188.4</v>
      </c>
      <c r="H453" s="42">
        <f t="shared" si="39"/>
        <v>0</v>
      </c>
      <c r="I453" s="56">
        <f t="shared" si="39"/>
        <v>0</v>
      </c>
    </row>
    <row r="454" spans="1:9" s="30" customFormat="1" ht="37.5">
      <c r="A454" s="57" t="s">
        <v>124</v>
      </c>
      <c r="B454" s="28" t="s">
        <v>12</v>
      </c>
      <c r="C454" s="29" t="s">
        <v>15</v>
      </c>
      <c r="D454" s="29" t="s">
        <v>167</v>
      </c>
      <c r="E454" s="29" t="s">
        <v>20</v>
      </c>
      <c r="F454" s="35">
        <f>SUM(G454:I454)</f>
        <v>1188.4</v>
      </c>
      <c r="G454" s="36">
        <f>1176-12.6+25</f>
        <v>1188.4</v>
      </c>
      <c r="H454" s="36"/>
      <c r="I454" s="58"/>
    </row>
    <row r="455" spans="1:9" s="15" customFormat="1" ht="112.5">
      <c r="A455" s="53" t="s">
        <v>101</v>
      </c>
      <c r="B455" s="13" t="s">
        <v>12</v>
      </c>
      <c r="C455" s="14" t="s">
        <v>15</v>
      </c>
      <c r="D455" s="14" t="s">
        <v>229</v>
      </c>
      <c r="E455" s="14"/>
      <c r="F455" s="43">
        <f aca="true" t="shared" si="40" ref="F455:I459">F456</f>
        <v>3120.7000000000003</v>
      </c>
      <c r="G455" s="43">
        <f t="shared" si="40"/>
        <v>3120.7000000000003</v>
      </c>
      <c r="H455" s="43">
        <f t="shared" si="40"/>
        <v>0</v>
      </c>
      <c r="I455" s="54">
        <f t="shared" si="40"/>
        <v>0</v>
      </c>
    </row>
    <row r="456" spans="1:9" s="5" customFormat="1" ht="37.5">
      <c r="A456" s="55" t="s">
        <v>79</v>
      </c>
      <c r="B456" s="4" t="s">
        <v>12</v>
      </c>
      <c r="C456" s="7" t="s">
        <v>15</v>
      </c>
      <c r="D456" s="7" t="s">
        <v>230</v>
      </c>
      <c r="E456" s="7"/>
      <c r="F456" s="42">
        <f t="shared" si="40"/>
        <v>3120.7000000000003</v>
      </c>
      <c r="G456" s="42">
        <f t="shared" si="40"/>
        <v>3120.7000000000003</v>
      </c>
      <c r="H456" s="42">
        <f t="shared" si="40"/>
        <v>0</v>
      </c>
      <c r="I456" s="56">
        <f t="shared" si="40"/>
        <v>0</v>
      </c>
    </row>
    <row r="457" spans="1:9" s="30" customFormat="1" ht="18.75">
      <c r="A457" s="57" t="s">
        <v>118</v>
      </c>
      <c r="B457" s="28" t="s">
        <v>12</v>
      </c>
      <c r="C457" s="29" t="s">
        <v>15</v>
      </c>
      <c r="D457" s="29" t="s">
        <v>230</v>
      </c>
      <c r="E457" s="29" t="s">
        <v>23</v>
      </c>
      <c r="F457" s="35">
        <f>SUM(G457:I457)</f>
        <v>3120.7000000000003</v>
      </c>
      <c r="G457" s="36">
        <f>3053.9+72.9-6.1</f>
        <v>3120.7000000000003</v>
      </c>
      <c r="H457" s="36"/>
      <c r="I457" s="58"/>
    </row>
    <row r="458" spans="1:9" s="15" customFormat="1" ht="37.5">
      <c r="A458" s="53" t="s">
        <v>113</v>
      </c>
      <c r="B458" s="13" t="s">
        <v>12</v>
      </c>
      <c r="C458" s="14" t="s">
        <v>15</v>
      </c>
      <c r="D458" s="14" t="s">
        <v>262</v>
      </c>
      <c r="E458" s="14"/>
      <c r="F458" s="43">
        <f>SUM(F459,F461)</f>
        <v>1368.6000000000001</v>
      </c>
      <c r="G458" s="43">
        <f>SUM(G459,G461)</f>
        <v>1196.4</v>
      </c>
      <c r="H458" s="43">
        <f>SUM(H459,H461)</f>
        <v>172.2</v>
      </c>
      <c r="I458" s="54">
        <f>SUM(I459,I461)</f>
        <v>0</v>
      </c>
    </row>
    <row r="459" spans="1:9" s="5" customFormat="1" ht="37.5">
      <c r="A459" s="55" t="s">
        <v>79</v>
      </c>
      <c r="B459" s="4" t="s">
        <v>12</v>
      </c>
      <c r="C459" s="7" t="s">
        <v>15</v>
      </c>
      <c r="D459" s="7" t="s">
        <v>263</v>
      </c>
      <c r="E459" s="7"/>
      <c r="F459" s="42">
        <f>F460</f>
        <v>1196.4</v>
      </c>
      <c r="G459" s="42">
        <f t="shared" si="40"/>
        <v>1196.4</v>
      </c>
      <c r="H459" s="42">
        <f t="shared" si="40"/>
        <v>0</v>
      </c>
      <c r="I459" s="56">
        <f t="shared" si="40"/>
        <v>0</v>
      </c>
    </row>
    <row r="460" spans="1:9" s="30" customFormat="1" ht="18.75">
      <c r="A460" s="57" t="s">
        <v>118</v>
      </c>
      <c r="B460" s="28" t="s">
        <v>12</v>
      </c>
      <c r="C460" s="29" t="s">
        <v>15</v>
      </c>
      <c r="D460" s="29" t="s">
        <v>263</v>
      </c>
      <c r="E460" s="29" t="s">
        <v>23</v>
      </c>
      <c r="F460" s="35">
        <f>SUM(G460:I460)</f>
        <v>1196.4</v>
      </c>
      <c r="G460" s="36">
        <v>1196.4</v>
      </c>
      <c r="H460" s="36"/>
      <c r="I460" s="58"/>
    </row>
    <row r="461" spans="1:9" s="30" customFormat="1" ht="37.5">
      <c r="A461" s="55" t="s">
        <v>314</v>
      </c>
      <c r="B461" s="28" t="s">
        <v>12</v>
      </c>
      <c r="C461" s="29" t="s">
        <v>15</v>
      </c>
      <c r="D461" s="29" t="s">
        <v>264</v>
      </c>
      <c r="E461" s="29"/>
      <c r="F461" s="39">
        <f>F462</f>
        <v>172.2</v>
      </c>
      <c r="G461" s="39">
        <f>G462</f>
        <v>0</v>
      </c>
      <c r="H461" s="39">
        <f>H462</f>
        <v>172.2</v>
      </c>
      <c r="I461" s="59">
        <f>I462</f>
        <v>0</v>
      </c>
    </row>
    <row r="462" spans="1:9" s="30" customFormat="1" ht="18.75">
      <c r="A462" s="57" t="s">
        <v>118</v>
      </c>
      <c r="B462" s="28" t="s">
        <v>12</v>
      </c>
      <c r="C462" s="29" t="s">
        <v>15</v>
      </c>
      <c r="D462" s="29" t="s">
        <v>264</v>
      </c>
      <c r="E462" s="29" t="s">
        <v>23</v>
      </c>
      <c r="F462" s="35">
        <f>SUM(G462:I462)</f>
        <v>172.2</v>
      </c>
      <c r="G462" s="36"/>
      <c r="H462" s="36">
        <f>170+2.2</f>
        <v>172.2</v>
      </c>
      <c r="I462" s="58"/>
    </row>
    <row r="463" spans="1:9" s="15" customFormat="1" ht="37.5">
      <c r="A463" s="53" t="s">
        <v>148</v>
      </c>
      <c r="B463" s="13" t="s">
        <v>12</v>
      </c>
      <c r="C463" s="14" t="s">
        <v>15</v>
      </c>
      <c r="D463" s="14" t="s">
        <v>265</v>
      </c>
      <c r="E463" s="14"/>
      <c r="F463" s="43">
        <f>F464</f>
        <v>2936.7</v>
      </c>
      <c r="G463" s="43">
        <f>G464</f>
        <v>2936.7</v>
      </c>
      <c r="H463" s="43">
        <f>H464</f>
        <v>0</v>
      </c>
      <c r="I463" s="54">
        <f>I464</f>
        <v>0</v>
      </c>
    </row>
    <row r="464" spans="1:9" s="5" customFormat="1" ht="37.5">
      <c r="A464" s="55" t="s">
        <v>149</v>
      </c>
      <c r="B464" s="4" t="s">
        <v>12</v>
      </c>
      <c r="C464" s="7" t="s">
        <v>15</v>
      </c>
      <c r="D464" s="7" t="s">
        <v>266</v>
      </c>
      <c r="E464" s="7"/>
      <c r="F464" s="39">
        <f>SUM(F465,F467,F469)</f>
        <v>2936.7</v>
      </c>
      <c r="G464" s="39">
        <f>SUM(G465,G467,G469)</f>
        <v>2936.7</v>
      </c>
      <c r="H464" s="39">
        <f>SUM(H465,H467,H469)</f>
        <v>0</v>
      </c>
      <c r="I464" s="59">
        <f>SUM(I465,I467,I469)</f>
        <v>0</v>
      </c>
    </row>
    <row r="465" spans="1:9" s="5" customFormat="1" ht="48" customHeight="1">
      <c r="A465" s="72" t="s">
        <v>324</v>
      </c>
      <c r="B465" s="4" t="s">
        <v>12</v>
      </c>
      <c r="C465" s="7" t="s">
        <v>15</v>
      </c>
      <c r="D465" s="7" t="s">
        <v>280</v>
      </c>
      <c r="E465" s="7"/>
      <c r="F465" s="39">
        <f>F466</f>
        <v>965</v>
      </c>
      <c r="G465" s="39">
        <f>G466</f>
        <v>965</v>
      </c>
      <c r="H465" s="39">
        <f>H466</f>
        <v>0</v>
      </c>
      <c r="I465" s="59">
        <f>I466</f>
        <v>0</v>
      </c>
    </row>
    <row r="466" spans="1:9" s="30" customFormat="1" ht="18.75">
      <c r="A466" s="57" t="s">
        <v>282</v>
      </c>
      <c r="B466" s="28" t="s">
        <v>12</v>
      </c>
      <c r="C466" s="29" t="s">
        <v>15</v>
      </c>
      <c r="D466" s="29" t="s">
        <v>280</v>
      </c>
      <c r="E466" s="29" t="s">
        <v>26</v>
      </c>
      <c r="F466" s="35">
        <f>SUM(G466:I466)</f>
        <v>965</v>
      </c>
      <c r="G466" s="36">
        <v>965</v>
      </c>
      <c r="H466" s="36"/>
      <c r="I466" s="58"/>
    </row>
    <row r="467" spans="1:9" s="30" customFormat="1" ht="56.25">
      <c r="A467" s="72" t="s">
        <v>325</v>
      </c>
      <c r="B467" s="9" t="s">
        <v>12</v>
      </c>
      <c r="C467" s="10" t="s">
        <v>15</v>
      </c>
      <c r="D467" s="10" t="s">
        <v>281</v>
      </c>
      <c r="E467" s="29"/>
      <c r="F467" s="39">
        <f>F468</f>
        <v>1592.5</v>
      </c>
      <c r="G467" s="39">
        <f>G468</f>
        <v>1592.5</v>
      </c>
      <c r="H467" s="39">
        <f>H468</f>
        <v>0</v>
      </c>
      <c r="I467" s="59">
        <f>I468</f>
        <v>0</v>
      </c>
    </row>
    <row r="468" spans="1:9" s="30" customFormat="1" ht="18.75">
      <c r="A468" s="57" t="s">
        <v>282</v>
      </c>
      <c r="B468" s="28" t="s">
        <v>12</v>
      </c>
      <c r="C468" s="29" t="s">
        <v>15</v>
      </c>
      <c r="D468" s="29" t="s">
        <v>281</v>
      </c>
      <c r="E468" s="29" t="s">
        <v>26</v>
      </c>
      <c r="F468" s="35">
        <f>SUM(G468:I468)</f>
        <v>1592.5</v>
      </c>
      <c r="G468" s="36">
        <f>1450+142.5</f>
        <v>1592.5</v>
      </c>
      <c r="H468" s="36"/>
      <c r="I468" s="58"/>
    </row>
    <row r="469" spans="1:9" s="30" customFormat="1" ht="37.5">
      <c r="A469" s="72" t="s">
        <v>415</v>
      </c>
      <c r="B469" s="4" t="s">
        <v>12</v>
      </c>
      <c r="C469" s="7" t="s">
        <v>15</v>
      </c>
      <c r="D469" s="7" t="s">
        <v>280</v>
      </c>
      <c r="E469" s="7"/>
      <c r="F469" s="39">
        <f>F470</f>
        <v>379.2</v>
      </c>
      <c r="G469" s="39">
        <f>G470</f>
        <v>379.2</v>
      </c>
      <c r="H469" s="39">
        <f>H470</f>
        <v>0</v>
      </c>
      <c r="I469" s="59">
        <f>I470</f>
        <v>0</v>
      </c>
    </row>
    <row r="470" spans="1:9" s="30" customFormat="1" ht="18.75">
      <c r="A470" s="57" t="s">
        <v>125</v>
      </c>
      <c r="B470" s="28" t="s">
        <v>12</v>
      </c>
      <c r="C470" s="29" t="s">
        <v>15</v>
      </c>
      <c r="D470" s="29" t="s">
        <v>416</v>
      </c>
      <c r="E470" s="29" t="s">
        <v>27</v>
      </c>
      <c r="F470" s="35">
        <f>SUM(G470:I470)</f>
        <v>379.2</v>
      </c>
      <c r="G470" s="36">
        <v>379.2</v>
      </c>
      <c r="H470" s="36"/>
      <c r="I470" s="58"/>
    </row>
    <row r="471" spans="1:9" s="30" customFormat="1" ht="18.75">
      <c r="A471" s="53" t="s">
        <v>130</v>
      </c>
      <c r="B471" s="13" t="s">
        <v>12</v>
      </c>
      <c r="C471" s="14" t="s">
        <v>15</v>
      </c>
      <c r="D471" s="14" t="s">
        <v>201</v>
      </c>
      <c r="E471" s="14"/>
      <c r="F471" s="43">
        <f>SUM(F474,F472)</f>
        <v>4825</v>
      </c>
      <c r="G471" s="43">
        <f>SUM(G474,G472)</f>
        <v>4825</v>
      </c>
      <c r="H471" s="43">
        <f>SUM(H474,H472)</f>
        <v>0</v>
      </c>
      <c r="I471" s="54">
        <f>SUM(I474,I472)</f>
        <v>0</v>
      </c>
    </row>
    <row r="472" spans="1:9" s="30" customFormat="1" ht="60.75" customHeight="1">
      <c r="A472" s="68" t="s">
        <v>398</v>
      </c>
      <c r="B472" s="4" t="s">
        <v>12</v>
      </c>
      <c r="C472" s="7" t="s">
        <v>15</v>
      </c>
      <c r="D472" s="7" t="s">
        <v>429</v>
      </c>
      <c r="E472" s="29"/>
      <c r="F472" s="42">
        <f>SUM(F473)</f>
        <v>2400</v>
      </c>
      <c r="G472" s="42">
        <f>SUM(G473)</f>
        <v>2400</v>
      </c>
      <c r="H472" s="42">
        <f>SUM(H473)</f>
        <v>0</v>
      </c>
      <c r="I472" s="56">
        <f>SUM(I473)</f>
        <v>0</v>
      </c>
    </row>
    <row r="473" spans="1:9" s="30" customFormat="1" ht="18.75">
      <c r="A473" s="62" t="s">
        <v>119</v>
      </c>
      <c r="B473" s="28" t="s">
        <v>12</v>
      </c>
      <c r="C473" s="29" t="s">
        <v>15</v>
      </c>
      <c r="D473" s="29" t="s">
        <v>430</v>
      </c>
      <c r="E473" s="29" t="s">
        <v>24</v>
      </c>
      <c r="F473" s="35">
        <f>SUM(G473:I473)</f>
        <v>2400</v>
      </c>
      <c r="G473" s="36">
        <v>2400</v>
      </c>
      <c r="H473" s="36"/>
      <c r="I473" s="58"/>
    </row>
    <row r="474" spans="1:9" s="30" customFormat="1" ht="93.75">
      <c r="A474" s="80" t="s">
        <v>418</v>
      </c>
      <c r="B474" s="4" t="s">
        <v>12</v>
      </c>
      <c r="C474" s="7" t="s">
        <v>15</v>
      </c>
      <c r="D474" s="7" t="s">
        <v>394</v>
      </c>
      <c r="E474" s="7"/>
      <c r="F474" s="42">
        <f>SUM(F475)</f>
        <v>2425</v>
      </c>
      <c r="G474" s="42">
        <f>SUM(G475)</f>
        <v>2425</v>
      </c>
      <c r="H474" s="42">
        <f>SUM(H475)</f>
        <v>0</v>
      </c>
      <c r="I474" s="56">
        <f>SUM(I475)</f>
        <v>0</v>
      </c>
    </row>
    <row r="475" spans="1:9" s="30" customFormat="1" ht="18.75">
      <c r="A475" s="62" t="s">
        <v>153</v>
      </c>
      <c r="B475" s="28" t="s">
        <v>12</v>
      </c>
      <c r="C475" s="29" t="s">
        <v>15</v>
      </c>
      <c r="D475" s="29" t="s">
        <v>394</v>
      </c>
      <c r="E475" s="29" t="s">
        <v>152</v>
      </c>
      <c r="F475" s="35">
        <f>SUM(G475:I475)</f>
        <v>2425</v>
      </c>
      <c r="G475" s="36">
        <v>2425</v>
      </c>
      <c r="H475" s="36"/>
      <c r="I475" s="58"/>
    </row>
    <row r="476" spans="1:9" s="15" customFormat="1" ht="56.25">
      <c r="A476" s="65" t="s">
        <v>443</v>
      </c>
      <c r="B476" s="13" t="s">
        <v>12</v>
      </c>
      <c r="C476" s="14" t="s">
        <v>15</v>
      </c>
      <c r="D476" s="14" t="s">
        <v>214</v>
      </c>
      <c r="E476" s="14"/>
      <c r="F476" s="43">
        <f aca="true" t="shared" si="41" ref="F476:I477">SUM(F477)</f>
        <v>6875</v>
      </c>
      <c r="G476" s="43">
        <f t="shared" si="41"/>
        <v>6875</v>
      </c>
      <c r="H476" s="43">
        <f t="shared" si="41"/>
        <v>0</v>
      </c>
      <c r="I476" s="54">
        <f t="shared" si="41"/>
        <v>0</v>
      </c>
    </row>
    <row r="477" spans="1:9" s="11" customFormat="1" ht="22.5" customHeight="1">
      <c r="A477" s="68" t="s">
        <v>444</v>
      </c>
      <c r="B477" s="9" t="s">
        <v>12</v>
      </c>
      <c r="C477" s="10" t="s">
        <v>15</v>
      </c>
      <c r="D477" s="10" t="s">
        <v>333</v>
      </c>
      <c r="E477" s="10"/>
      <c r="F477" s="42">
        <f t="shared" si="41"/>
        <v>6875</v>
      </c>
      <c r="G477" s="42">
        <f>SUM(G478)</f>
        <v>6875</v>
      </c>
      <c r="H477" s="42">
        <f t="shared" si="41"/>
        <v>0</v>
      </c>
      <c r="I477" s="56">
        <f t="shared" si="41"/>
        <v>0</v>
      </c>
    </row>
    <row r="478" spans="1:9" s="30" customFormat="1" ht="18.75">
      <c r="A478" s="62" t="s">
        <v>119</v>
      </c>
      <c r="B478" s="28" t="s">
        <v>12</v>
      </c>
      <c r="C478" s="29" t="s">
        <v>15</v>
      </c>
      <c r="D478" s="29" t="s">
        <v>333</v>
      </c>
      <c r="E478" s="29" t="s">
        <v>24</v>
      </c>
      <c r="F478" s="35">
        <f>SUM(G478:I478)</f>
        <v>6875</v>
      </c>
      <c r="G478" s="36">
        <f>6675+200</f>
        <v>6875</v>
      </c>
      <c r="H478" s="36"/>
      <c r="I478" s="58"/>
    </row>
    <row r="479" spans="1:9" s="30" customFormat="1" ht="18.75">
      <c r="A479" s="53" t="s">
        <v>382</v>
      </c>
      <c r="B479" s="13" t="s">
        <v>12</v>
      </c>
      <c r="C479" s="14" t="s">
        <v>15</v>
      </c>
      <c r="D479" s="14" t="s">
        <v>206</v>
      </c>
      <c r="E479" s="14"/>
      <c r="F479" s="43">
        <f aca="true" t="shared" si="42" ref="F479:I480">SUM(F480)</f>
        <v>3194.4999999999995</v>
      </c>
      <c r="G479" s="43">
        <f t="shared" si="42"/>
        <v>3194.4999999999995</v>
      </c>
      <c r="H479" s="43">
        <f t="shared" si="42"/>
        <v>0</v>
      </c>
      <c r="I479" s="54">
        <f t="shared" si="42"/>
        <v>0</v>
      </c>
    </row>
    <row r="480" spans="1:9" s="5" customFormat="1" ht="61.5" customHeight="1">
      <c r="A480" s="80" t="s">
        <v>402</v>
      </c>
      <c r="B480" s="4" t="s">
        <v>12</v>
      </c>
      <c r="C480" s="7" t="s">
        <v>15</v>
      </c>
      <c r="D480" s="7" t="s">
        <v>383</v>
      </c>
      <c r="E480" s="7"/>
      <c r="F480" s="42">
        <f t="shared" si="42"/>
        <v>3194.4999999999995</v>
      </c>
      <c r="G480" s="42">
        <f>SUM(G481)</f>
        <v>3194.4999999999995</v>
      </c>
      <c r="H480" s="42">
        <f t="shared" si="42"/>
        <v>0</v>
      </c>
      <c r="I480" s="56">
        <f t="shared" si="42"/>
        <v>0</v>
      </c>
    </row>
    <row r="481" spans="1:9" s="30" customFormat="1" ht="37.5">
      <c r="A481" s="62" t="s">
        <v>124</v>
      </c>
      <c r="B481" s="28" t="s">
        <v>12</v>
      </c>
      <c r="C481" s="29" t="s">
        <v>15</v>
      </c>
      <c r="D481" s="7" t="s">
        <v>383</v>
      </c>
      <c r="E481" s="29" t="s">
        <v>20</v>
      </c>
      <c r="F481" s="35">
        <f>SUM(G481:I481)</f>
        <v>3194.4999999999995</v>
      </c>
      <c r="G481" s="36">
        <f>3194.5+1204.9-1204.9</f>
        <v>3194.4999999999995</v>
      </c>
      <c r="H481" s="36"/>
      <c r="I481" s="58"/>
    </row>
    <row r="482" spans="1:9" s="30" customFormat="1" ht="56.25" hidden="1">
      <c r="A482" s="53" t="s">
        <v>157</v>
      </c>
      <c r="B482" s="13" t="s">
        <v>12</v>
      </c>
      <c r="C482" s="14" t="s">
        <v>15</v>
      </c>
      <c r="D482" s="14" t="s">
        <v>214</v>
      </c>
      <c r="E482" s="14"/>
      <c r="F482" s="43">
        <f>F483</f>
        <v>0</v>
      </c>
      <c r="G482" s="43">
        <f>G483</f>
        <v>0</v>
      </c>
      <c r="H482" s="43">
        <f>SUM(H483,H486)</f>
        <v>0</v>
      </c>
      <c r="I482" s="54">
        <f>SUM(I483,I486)</f>
        <v>0</v>
      </c>
    </row>
    <row r="483" spans="1:9" s="30" customFormat="1" ht="27.75" customHeight="1" hidden="1">
      <c r="A483" s="55" t="s">
        <v>158</v>
      </c>
      <c r="B483" s="4" t="s">
        <v>12</v>
      </c>
      <c r="C483" s="7" t="s">
        <v>15</v>
      </c>
      <c r="D483" s="7" t="s">
        <v>333</v>
      </c>
      <c r="E483" s="7"/>
      <c r="F483" s="42">
        <f>SUM(F484)</f>
        <v>0</v>
      </c>
      <c r="G483" s="42">
        <f>SUM(G484)</f>
        <v>0</v>
      </c>
      <c r="H483" s="42">
        <f>SUM(H484)</f>
        <v>0</v>
      </c>
      <c r="I483" s="56">
        <f>SUM(I484)</f>
        <v>0</v>
      </c>
    </row>
    <row r="484" spans="1:9" s="30" customFormat="1" ht="18.75" hidden="1">
      <c r="A484" s="57" t="s">
        <v>119</v>
      </c>
      <c r="B484" s="28" t="s">
        <v>12</v>
      </c>
      <c r="C484" s="29" t="s">
        <v>15</v>
      </c>
      <c r="D484" s="29" t="s">
        <v>333</v>
      </c>
      <c r="E484" s="29" t="s">
        <v>24</v>
      </c>
      <c r="F484" s="35">
        <f>SUM(G484:I484)</f>
        <v>0</v>
      </c>
      <c r="G484" s="36"/>
      <c r="H484" s="36"/>
      <c r="I484" s="58"/>
    </row>
    <row r="485" spans="1:9" s="30" customFormat="1" ht="39.75" customHeight="1">
      <c r="A485" s="53" t="s">
        <v>382</v>
      </c>
      <c r="B485" s="13" t="s">
        <v>12</v>
      </c>
      <c r="C485" s="14" t="s">
        <v>15</v>
      </c>
      <c r="D485" s="14" t="s">
        <v>206</v>
      </c>
      <c r="E485" s="14"/>
      <c r="F485" s="43">
        <f>SUM(F486)</f>
        <v>1</v>
      </c>
      <c r="G485" s="43">
        <f>SUM(G486)</f>
        <v>1</v>
      </c>
      <c r="H485" s="43">
        <f>SUM(H486)</f>
        <v>0</v>
      </c>
      <c r="I485" s="54">
        <f>SUM(I486)</f>
        <v>0</v>
      </c>
    </row>
    <row r="486" spans="1:9" s="30" customFormat="1" ht="56.25" customHeight="1">
      <c r="A486" s="87" t="s">
        <v>405</v>
      </c>
      <c r="B486" s="4" t="s">
        <v>12</v>
      </c>
      <c r="C486" s="7" t="s">
        <v>15</v>
      </c>
      <c r="D486" s="7" t="s">
        <v>406</v>
      </c>
      <c r="E486" s="7"/>
      <c r="F486" s="39">
        <f>F487</f>
        <v>1</v>
      </c>
      <c r="G486" s="39">
        <f>G487</f>
        <v>1</v>
      </c>
      <c r="H486" s="39">
        <f>H487</f>
        <v>0</v>
      </c>
      <c r="I486" s="59">
        <f>I487</f>
        <v>0</v>
      </c>
    </row>
    <row r="487" spans="1:9" s="30" customFormat="1" ht="37.5">
      <c r="A487" s="57" t="s">
        <v>124</v>
      </c>
      <c r="B487" s="28" t="s">
        <v>12</v>
      </c>
      <c r="C487" s="29" t="s">
        <v>15</v>
      </c>
      <c r="D487" s="29" t="s">
        <v>406</v>
      </c>
      <c r="E487" s="29" t="s">
        <v>20</v>
      </c>
      <c r="F487" s="35">
        <f>SUM(G487:I487)</f>
        <v>1</v>
      </c>
      <c r="G487" s="36">
        <v>1</v>
      </c>
      <c r="H487" s="36"/>
      <c r="I487" s="58"/>
    </row>
    <row r="488" spans="1:9" s="6" customFormat="1" ht="18.75">
      <c r="A488" s="51" t="s">
        <v>54</v>
      </c>
      <c r="B488" s="45" t="s">
        <v>15</v>
      </c>
      <c r="C488" s="46" t="s">
        <v>18</v>
      </c>
      <c r="D488" s="46"/>
      <c r="E488" s="46"/>
      <c r="F488" s="47">
        <f>SUM(F489,F493,F509,F517)</f>
        <v>32622.4</v>
      </c>
      <c r="G488" s="47">
        <f>SUM(G489,G493,G509,G517)</f>
        <v>23621.4</v>
      </c>
      <c r="H488" s="47">
        <f>SUM(H489,H493,H509,H517)</f>
        <v>0</v>
      </c>
      <c r="I488" s="52">
        <f>SUM(I489,I493,I509,I517)</f>
        <v>9001</v>
      </c>
    </row>
    <row r="489" spans="1:9" s="15" customFormat="1" ht="18.75">
      <c r="A489" s="53" t="s">
        <v>55</v>
      </c>
      <c r="B489" s="13" t="s">
        <v>15</v>
      </c>
      <c r="C489" s="14" t="s">
        <v>3</v>
      </c>
      <c r="D489" s="14"/>
      <c r="E489" s="14"/>
      <c r="F489" s="44">
        <f aca="true" t="shared" si="43" ref="F489:I491">F490</f>
        <v>1484</v>
      </c>
      <c r="G489" s="44">
        <f t="shared" si="43"/>
        <v>1484</v>
      </c>
      <c r="H489" s="44">
        <f t="shared" si="43"/>
        <v>0</v>
      </c>
      <c r="I489" s="63">
        <f t="shared" si="43"/>
        <v>0</v>
      </c>
    </row>
    <row r="490" spans="1:9" s="15" customFormat="1" ht="37.5">
      <c r="A490" s="53" t="s">
        <v>114</v>
      </c>
      <c r="B490" s="13" t="s">
        <v>15</v>
      </c>
      <c r="C490" s="14" t="s">
        <v>3</v>
      </c>
      <c r="D490" s="14" t="s">
        <v>267</v>
      </c>
      <c r="E490" s="14"/>
      <c r="F490" s="43">
        <f t="shared" si="43"/>
        <v>1484</v>
      </c>
      <c r="G490" s="43">
        <f t="shared" si="43"/>
        <v>1484</v>
      </c>
      <c r="H490" s="43">
        <f t="shared" si="43"/>
        <v>0</v>
      </c>
      <c r="I490" s="54">
        <f t="shared" si="43"/>
        <v>0</v>
      </c>
    </row>
    <row r="491" spans="1:9" s="5" customFormat="1" ht="56.25">
      <c r="A491" s="55" t="s">
        <v>115</v>
      </c>
      <c r="B491" s="4" t="s">
        <v>15</v>
      </c>
      <c r="C491" s="7" t="s">
        <v>3</v>
      </c>
      <c r="D491" s="7" t="s">
        <v>268</v>
      </c>
      <c r="E491" s="7"/>
      <c r="F491" s="39">
        <f t="shared" si="43"/>
        <v>1484</v>
      </c>
      <c r="G491" s="39">
        <f t="shared" si="43"/>
        <v>1484</v>
      </c>
      <c r="H491" s="39">
        <f t="shared" si="43"/>
        <v>0</v>
      </c>
      <c r="I491" s="59">
        <f t="shared" si="43"/>
        <v>0</v>
      </c>
    </row>
    <row r="492" spans="1:9" s="30" customFormat="1" ht="18.75">
      <c r="A492" s="57" t="s">
        <v>120</v>
      </c>
      <c r="B492" s="28" t="s">
        <v>15</v>
      </c>
      <c r="C492" s="29" t="s">
        <v>3</v>
      </c>
      <c r="D492" s="29" t="s">
        <v>268</v>
      </c>
      <c r="E492" s="29" t="s">
        <v>6</v>
      </c>
      <c r="F492" s="35">
        <f>SUM(G492:I492)</f>
        <v>1484</v>
      </c>
      <c r="G492" s="36">
        <f>300+592+592</f>
        <v>1484</v>
      </c>
      <c r="H492" s="36"/>
      <c r="I492" s="58"/>
    </row>
    <row r="493" spans="1:9" s="15" customFormat="1" ht="18.75">
      <c r="A493" s="53" t="s">
        <v>56</v>
      </c>
      <c r="B493" s="13" t="s">
        <v>15</v>
      </c>
      <c r="C493" s="14" t="s">
        <v>5</v>
      </c>
      <c r="D493" s="14"/>
      <c r="E493" s="14"/>
      <c r="F493" s="43">
        <f>F494+F497+F500</f>
        <v>22097.4</v>
      </c>
      <c r="G493" s="43">
        <f>G494+G497+G500</f>
        <v>22097.4</v>
      </c>
      <c r="H493" s="43">
        <f>H494+H497+H500</f>
        <v>0</v>
      </c>
      <c r="I493" s="54">
        <f>I494+I497+I500</f>
        <v>0</v>
      </c>
    </row>
    <row r="494" spans="1:10" s="15" customFormat="1" ht="38.25" customHeight="1">
      <c r="A494" s="90" t="s">
        <v>432</v>
      </c>
      <c r="B494" s="13" t="s">
        <v>15</v>
      </c>
      <c r="C494" s="14" t="s">
        <v>5</v>
      </c>
      <c r="D494" s="14" t="s">
        <v>433</v>
      </c>
      <c r="E494" s="14"/>
      <c r="F494" s="43">
        <f>F495</f>
        <v>8767</v>
      </c>
      <c r="G494" s="43">
        <f>G495</f>
        <v>8767</v>
      </c>
      <c r="H494" s="43">
        <f>H495</f>
        <v>0</v>
      </c>
      <c r="I494" s="54">
        <f>I495</f>
        <v>0</v>
      </c>
      <c r="J494" s="92"/>
    </row>
    <row r="495" spans="1:10" s="15" customFormat="1" ht="32.25" customHeight="1">
      <c r="A495" s="91" t="s">
        <v>434</v>
      </c>
      <c r="B495" s="9" t="s">
        <v>15</v>
      </c>
      <c r="C495" s="10" t="s">
        <v>5</v>
      </c>
      <c r="D495" s="10" t="s">
        <v>433</v>
      </c>
      <c r="E495" s="14"/>
      <c r="F495" s="43">
        <f>F496</f>
        <v>8767</v>
      </c>
      <c r="G495" s="43">
        <f>G496</f>
        <v>8767</v>
      </c>
      <c r="H495" s="43"/>
      <c r="I495" s="54"/>
      <c r="J495" s="92"/>
    </row>
    <row r="496" spans="1:10" s="15" customFormat="1" ht="20.25" customHeight="1">
      <c r="A496" s="57" t="s">
        <v>117</v>
      </c>
      <c r="B496" s="28" t="s">
        <v>15</v>
      </c>
      <c r="C496" s="29" t="s">
        <v>5</v>
      </c>
      <c r="D496" s="29" t="s">
        <v>433</v>
      </c>
      <c r="E496" s="29" t="s">
        <v>439</v>
      </c>
      <c r="F496" s="35">
        <f>SUM(G496:I496)</f>
        <v>8767</v>
      </c>
      <c r="G496" s="36">
        <f>2472.7+6294.3</f>
        <v>8767</v>
      </c>
      <c r="H496" s="36"/>
      <c r="I496" s="58"/>
      <c r="J496" s="93"/>
    </row>
    <row r="497" spans="1:9" s="15" customFormat="1" ht="18.75">
      <c r="A497" s="53" t="s">
        <v>163</v>
      </c>
      <c r="B497" s="13" t="s">
        <v>15</v>
      </c>
      <c r="C497" s="14" t="s">
        <v>5</v>
      </c>
      <c r="D497" s="14" t="s">
        <v>269</v>
      </c>
      <c r="E497" s="14"/>
      <c r="F497" s="43">
        <f>SUM(F498)</f>
        <v>14.4</v>
      </c>
      <c r="G497" s="43">
        <f>SUM(G498)</f>
        <v>14.4</v>
      </c>
      <c r="H497" s="43">
        <f>SUM(H498)</f>
        <v>0</v>
      </c>
      <c r="I497" s="54">
        <f>SUM(I498)</f>
        <v>0</v>
      </c>
    </row>
    <row r="498" spans="1:9" s="5" customFormat="1" ht="18.75">
      <c r="A498" s="55" t="s">
        <v>117</v>
      </c>
      <c r="B498" s="4" t="s">
        <v>15</v>
      </c>
      <c r="C498" s="7" t="s">
        <v>5</v>
      </c>
      <c r="D498" s="7" t="s">
        <v>270</v>
      </c>
      <c r="E498" s="7"/>
      <c r="F498" s="42">
        <f>F499</f>
        <v>14.4</v>
      </c>
      <c r="G498" s="42">
        <f>G499</f>
        <v>14.4</v>
      </c>
      <c r="H498" s="42">
        <f>SUM(H499:H499)</f>
        <v>0</v>
      </c>
      <c r="I498" s="56">
        <f>SUM(I499:I499)</f>
        <v>0</v>
      </c>
    </row>
    <row r="499" spans="1:9" s="30" customFormat="1" ht="18.75">
      <c r="A499" s="57" t="s">
        <v>120</v>
      </c>
      <c r="B499" s="28" t="s">
        <v>15</v>
      </c>
      <c r="C499" s="29" t="s">
        <v>5</v>
      </c>
      <c r="D499" s="29" t="s">
        <v>270</v>
      </c>
      <c r="E499" s="29" t="s">
        <v>6</v>
      </c>
      <c r="F499" s="35">
        <f>SUM(G499:I499)</f>
        <v>14.4</v>
      </c>
      <c r="G499" s="36">
        <f>14+0.4</f>
        <v>14.4</v>
      </c>
      <c r="H499" s="36"/>
      <c r="I499" s="58"/>
    </row>
    <row r="500" spans="1:9" s="30" customFormat="1" ht="18.75">
      <c r="A500" s="53" t="s">
        <v>130</v>
      </c>
      <c r="B500" s="13" t="s">
        <v>15</v>
      </c>
      <c r="C500" s="14" t="s">
        <v>5</v>
      </c>
      <c r="D500" s="14" t="s">
        <v>201</v>
      </c>
      <c r="E500" s="14"/>
      <c r="F500" s="43">
        <f>F501+F503</f>
        <v>13316</v>
      </c>
      <c r="G500" s="43">
        <f>G501+G503</f>
        <v>13316</v>
      </c>
      <c r="H500" s="43">
        <f>H501+H503</f>
        <v>0</v>
      </c>
      <c r="I500" s="54">
        <f>I501+I503</f>
        <v>0</v>
      </c>
    </row>
    <row r="501" spans="1:9" s="5" customFormat="1" ht="138" customHeight="1">
      <c r="A501" s="55" t="s">
        <v>400</v>
      </c>
      <c r="B501" s="4" t="s">
        <v>15</v>
      </c>
      <c r="C501" s="7" t="s">
        <v>5</v>
      </c>
      <c r="D501" s="7" t="s">
        <v>431</v>
      </c>
      <c r="E501" s="7"/>
      <c r="F501" s="35">
        <f>SUM(G501:I501)</f>
        <v>10500</v>
      </c>
      <c r="G501" s="39">
        <f>G502</f>
        <v>10500</v>
      </c>
      <c r="H501" s="39">
        <f>H502</f>
        <v>0</v>
      </c>
      <c r="I501" s="59">
        <f>I502</f>
        <v>0</v>
      </c>
    </row>
    <row r="502" spans="1:9" s="30" customFormat="1" ht="18.75">
      <c r="A502" s="57" t="s">
        <v>120</v>
      </c>
      <c r="B502" s="40" t="s">
        <v>15</v>
      </c>
      <c r="C502" s="37" t="s">
        <v>5</v>
      </c>
      <c r="D502" s="37" t="s">
        <v>431</v>
      </c>
      <c r="E502" s="37" t="s">
        <v>6</v>
      </c>
      <c r="F502" s="35">
        <f>SUM(G502:I502)</f>
        <v>10500</v>
      </c>
      <c r="G502" s="36">
        <f>10800-300</f>
        <v>10500</v>
      </c>
      <c r="H502" s="36"/>
      <c r="I502" s="58"/>
    </row>
    <row r="503" spans="1:9" s="30" customFormat="1" ht="41.25" customHeight="1">
      <c r="A503" s="55" t="s">
        <v>436</v>
      </c>
      <c r="B503" s="9" t="s">
        <v>15</v>
      </c>
      <c r="C503" s="10" t="s">
        <v>5</v>
      </c>
      <c r="D503" s="10" t="s">
        <v>435</v>
      </c>
      <c r="E503" s="10"/>
      <c r="F503" s="42">
        <f>SUM(F504)</f>
        <v>2816</v>
      </c>
      <c r="G503" s="42">
        <f>SUM(G504)</f>
        <v>2816</v>
      </c>
      <c r="H503" s="42">
        <f>SUM(H504)</f>
        <v>0</v>
      </c>
      <c r="I503" s="56">
        <f>SUM(I504)</f>
        <v>0</v>
      </c>
    </row>
    <row r="504" spans="1:9" s="30" customFormat="1" ht="18.75">
      <c r="A504" s="57" t="s">
        <v>117</v>
      </c>
      <c r="B504" s="28" t="s">
        <v>15</v>
      </c>
      <c r="C504" s="29" t="s">
        <v>5</v>
      </c>
      <c r="D504" s="29" t="s">
        <v>435</v>
      </c>
      <c r="E504" s="29" t="s">
        <v>439</v>
      </c>
      <c r="F504" s="35">
        <f>SUM(G504:I504)</f>
        <v>2816</v>
      </c>
      <c r="G504" s="36">
        <f>717.9+2098.1</f>
        <v>2816</v>
      </c>
      <c r="H504" s="36"/>
      <c r="I504" s="58"/>
    </row>
    <row r="505" spans="1:9" s="15" customFormat="1" ht="37.5" hidden="1">
      <c r="A505" s="53" t="s">
        <v>116</v>
      </c>
      <c r="B505" s="13" t="s">
        <v>15</v>
      </c>
      <c r="C505" s="14" t="s">
        <v>5</v>
      </c>
      <c r="D505" s="14" t="s">
        <v>271</v>
      </c>
      <c r="E505" s="14"/>
      <c r="F505" s="43">
        <f>F506</f>
        <v>0</v>
      </c>
      <c r="G505" s="43">
        <f>G506</f>
        <v>0</v>
      </c>
      <c r="H505" s="43">
        <f>H506</f>
        <v>0</v>
      </c>
      <c r="I505" s="54">
        <f>I506</f>
        <v>0</v>
      </c>
    </row>
    <row r="506" spans="1:9" s="5" customFormat="1" ht="18.75" hidden="1">
      <c r="A506" s="55" t="s">
        <v>117</v>
      </c>
      <c r="B506" s="4" t="s">
        <v>15</v>
      </c>
      <c r="C506" s="7" t="s">
        <v>5</v>
      </c>
      <c r="D506" s="7" t="s">
        <v>272</v>
      </c>
      <c r="E506" s="7"/>
      <c r="F506" s="42">
        <f>SUM(F507:F508)</f>
        <v>0</v>
      </c>
      <c r="G506" s="42">
        <f>SUM(G507:G508)</f>
        <v>0</v>
      </c>
      <c r="H506" s="42">
        <f>SUM(H507:H508)</f>
        <v>0</v>
      </c>
      <c r="I506" s="56">
        <f>SUM(I507:I508)</f>
        <v>0</v>
      </c>
    </row>
    <row r="507" spans="1:9" s="30" customFormat="1" ht="18.75" hidden="1">
      <c r="A507" s="57" t="s">
        <v>120</v>
      </c>
      <c r="B507" s="28" t="s">
        <v>15</v>
      </c>
      <c r="C507" s="29" t="s">
        <v>5</v>
      </c>
      <c r="D507" s="29" t="s">
        <v>272</v>
      </c>
      <c r="E507" s="29" t="s">
        <v>6</v>
      </c>
      <c r="F507" s="35">
        <f>SUM(G507:I507)</f>
        <v>0</v>
      </c>
      <c r="G507" s="36"/>
      <c r="H507" s="36"/>
      <c r="I507" s="58"/>
    </row>
    <row r="508" spans="1:9" s="30" customFormat="1" ht="18.75" hidden="1">
      <c r="A508" s="57" t="s">
        <v>121</v>
      </c>
      <c r="B508" s="28" t="s">
        <v>15</v>
      </c>
      <c r="C508" s="29" t="s">
        <v>5</v>
      </c>
      <c r="D508" s="29" t="s">
        <v>272</v>
      </c>
      <c r="E508" s="29" t="s">
        <v>21</v>
      </c>
      <c r="F508" s="35">
        <f>SUM(G508:I508)</f>
        <v>0</v>
      </c>
      <c r="G508" s="36"/>
      <c r="H508" s="36"/>
      <c r="I508" s="58"/>
    </row>
    <row r="509" spans="1:9" s="15" customFormat="1" ht="18.75">
      <c r="A509" s="53" t="s">
        <v>134</v>
      </c>
      <c r="B509" s="13" t="s">
        <v>15</v>
      </c>
      <c r="C509" s="14" t="s">
        <v>7</v>
      </c>
      <c r="D509" s="14"/>
      <c r="E509" s="14"/>
      <c r="F509" s="43">
        <f aca="true" t="shared" si="44" ref="F509:I514">F510</f>
        <v>9001</v>
      </c>
      <c r="G509" s="43">
        <f t="shared" si="44"/>
        <v>0</v>
      </c>
      <c r="H509" s="43">
        <f t="shared" si="44"/>
        <v>0</v>
      </c>
      <c r="I509" s="54">
        <f t="shared" si="44"/>
        <v>9001</v>
      </c>
    </row>
    <row r="510" spans="1:9" s="15" customFormat="1" ht="19.5" customHeight="1">
      <c r="A510" s="53" t="s">
        <v>132</v>
      </c>
      <c r="B510" s="13" t="s">
        <v>15</v>
      </c>
      <c r="C510" s="14" t="s">
        <v>7</v>
      </c>
      <c r="D510" s="14" t="s">
        <v>224</v>
      </c>
      <c r="E510" s="14"/>
      <c r="F510" s="43">
        <f>F511</f>
        <v>9001</v>
      </c>
      <c r="G510" s="43">
        <f t="shared" si="44"/>
        <v>0</v>
      </c>
      <c r="H510" s="43">
        <f t="shared" si="44"/>
        <v>0</v>
      </c>
      <c r="I510" s="54">
        <f t="shared" si="44"/>
        <v>9001</v>
      </c>
    </row>
    <row r="511" spans="1:9" s="5" customFormat="1" ht="81" customHeight="1">
      <c r="A511" s="55" t="s">
        <v>164</v>
      </c>
      <c r="B511" s="4" t="s">
        <v>15</v>
      </c>
      <c r="C511" s="7" t="s">
        <v>7</v>
      </c>
      <c r="D511" s="7" t="s">
        <v>306</v>
      </c>
      <c r="E511" s="7"/>
      <c r="F511" s="42">
        <f>F512+F514</f>
        <v>9001</v>
      </c>
      <c r="G511" s="42">
        <f>G512+G514</f>
        <v>0</v>
      </c>
      <c r="H511" s="42">
        <f>H512+H514</f>
        <v>0</v>
      </c>
      <c r="I511" s="56">
        <f>I512+I514</f>
        <v>9001</v>
      </c>
    </row>
    <row r="512" spans="1:9" s="5" customFormat="1" ht="81" customHeight="1">
      <c r="A512" s="55" t="s">
        <v>326</v>
      </c>
      <c r="B512" s="4" t="s">
        <v>15</v>
      </c>
      <c r="C512" s="7" t="s">
        <v>7</v>
      </c>
      <c r="D512" s="7" t="s">
        <v>303</v>
      </c>
      <c r="E512" s="7"/>
      <c r="F512" s="42">
        <f>F513</f>
        <v>9001</v>
      </c>
      <c r="G512" s="42">
        <f t="shared" si="44"/>
        <v>0</v>
      </c>
      <c r="H512" s="42">
        <f t="shared" si="44"/>
        <v>0</v>
      </c>
      <c r="I512" s="56">
        <f t="shared" si="44"/>
        <v>9001</v>
      </c>
    </row>
    <row r="513" spans="1:9" s="30" customFormat="1" ht="18.75">
      <c r="A513" s="57" t="s">
        <v>120</v>
      </c>
      <c r="B513" s="40" t="s">
        <v>15</v>
      </c>
      <c r="C513" s="37" t="s">
        <v>7</v>
      </c>
      <c r="D513" s="37" t="s">
        <v>303</v>
      </c>
      <c r="E513" s="37" t="s">
        <v>6</v>
      </c>
      <c r="F513" s="35">
        <f>SUM(G513:I513)</f>
        <v>9001</v>
      </c>
      <c r="G513" s="36"/>
      <c r="H513" s="36"/>
      <c r="I513" s="58">
        <f>11492-2491</f>
        <v>9001</v>
      </c>
    </row>
    <row r="514" spans="1:9" s="5" customFormat="1" ht="112.5" hidden="1">
      <c r="A514" s="55" t="s">
        <v>369</v>
      </c>
      <c r="B514" s="4" t="s">
        <v>15</v>
      </c>
      <c r="C514" s="7" t="s">
        <v>7</v>
      </c>
      <c r="D514" s="7" t="s">
        <v>368</v>
      </c>
      <c r="E514" s="7"/>
      <c r="F514" s="42">
        <f>F515</f>
        <v>0</v>
      </c>
      <c r="G514" s="42">
        <f t="shared" si="44"/>
        <v>0</v>
      </c>
      <c r="H514" s="42">
        <f t="shared" si="44"/>
        <v>0</v>
      </c>
      <c r="I514" s="56">
        <f t="shared" si="44"/>
        <v>0</v>
      </c>
    </row>
    <row r="515" spans="1:9" s="5" customFormat="1" ht="18.75" hidden="1">
      <c r="A515" s="57" t="s">
        <v>120</v>
      </c>
      <c r="B515" s="40" t="s">
        <v>15</v>
      </c>
      <c r="C515" s="37" t="s">
        <v>7</v>
      </c>
      <c r="D515" s="37" t="s">
        <v>368</v>
      </c>
      <c r="E515" s="37" t="s">
        <v>6</v>
      </c>
      <c r="F515" s="35">
        <f>SUM(G515:I515)</f>
        <v>0</v>
      </c>
      <c r="G515" s="36"/>
      <c r="H515" s="36"/>
      <c r="I515" s="58"/>
    </row>
    <row r="516" spans="1:9" s="30" customFormat="1" ht="18.75" hidden="1">
      <c r="A516" s="57"/>
      <c r="B516" s="28"/>
      <c r="C516" s="29"/>
      <c r="D516" s="29"/>
      <c r="E516" s="29"/>
      <c r="F516" s="35"/>
      <c r="G516" s="36"/>
      <c r="H516" s="36"/>
      <c r="I516" s="58"/>
    </row>
    <row r="517" spans="1:9" s="15" customFormat="1" ht="24.75" customHeight="1">
      <c r="A517" s="53" t="s">
        <v>150</v>
      </c>
      <c r="B517" s="13" t="s">
        <v>15</v>
      </c>
      <c r="C517" s="14" t="s">
        <v>9</v>
      </c>
      <c r="D517" s="14"/>
      <c r="E517" s="14"/>
      <c r="F517" s="43">
        <f aca="true" t="shared" si="45" ref="F517:I519">F518</f>
        <v>40</v>
      </c>
      <c r="G517" s="43">
        <f t="shared" si="45"/>
        <v>40</v>
      </c>
      <c r="H517" s="43">
        <f t="shared" si="45"/>
        <v>0</v>
      </c>
      <c r="I517" s="54">
        <f t="shared" si="45"/>
        <v>0</v>
      </c>
    </row>
    <row r="518" spans="1:9" s="15" customFormat="1" ht="37.5">
      <c r="A518" s="53" t="s">
        <v>116</v>
      </c>
      <c r="B518" s="13" t="s">
        <v>15</v>
      </c>
      <c r="C518" s="14" t="s">
        <v>9</v>
      </c>
      <c r="D518" s="14" t="s">
        <v>271</v>
      </c>
      <c r="E518" s="14"/>
      <c r="F518" s="43">
        <f t="shared" si="45"/>
        <v>40</v>
      </c>
      <c r="G518" s="43">
        <f t="shared" si="45"/>
        <v>40</v>
      </c>
      <c r="H518" s="43">
        <f t="shared" si="45"/>
        <v>0</v>
      </c>
      <c r="I518" s="54">
        <f t="shared" si="45"/>
        <v>0</v>
      </c>
    </row>
    <row r="519" spans="1:9" s="5" customFormat="1" ht="61.5" customHeight="1">
      <c r="A519" s="55" t="s">
        <v>449</v>
      </c>
      <c r="B519" s="4" t="s">
        <v>15</v>
      </c>
      <c r="C519" s="7" t="s">
        <v>9</v>
      </c>
      <c r="D519" s="7" t="s">
        <v>273</v>
      </c>
      <c r="E519" s="7"/>
      <c r="F519" s="42">
        <f t="shared" si="45"/>
        <v>40</v>
      </c>
      <c r="G519" s="42">
        <f t="shared" si="45"/>
        <v>40</v>
      </c>
      <c r="H519" s="42">
        <f t="shared" si="45"/>
        <v>0</v>
      </c>
      <c r="I519" s="56">
        <f t="shared" si="45"/>
        <v>0</v>
      </c>
    </row>
    <row r="520" spans="1:9" s="30" customFormat="1" ht="18.75">
      <c r="A520" s="57" t="s">
        <v>125</v>
      </c>
      <c r="B520" s="28" t="s">
        <v>15</v>
      </c>
      <c r="C520" s="29" t="s">
        <v>9</v>
      </c>
      <c r="D520" s="29" t="s">
        <v>273</v>
      </c>
      <c r="E520" s="29" t="s">
        <v>27</v>
      </c>
      <c r="F520" s="35">
        <f>SUM(G520:I520)</f>
        <v>40</v>
      </c>
      <c r="G520" s="36">
        <v>40</v>
      </c>
      <c r="H520" s="36"/>
      <c r="I520" s="58"/>
    </row>
    <row r="521" spans="1:9" s="15" customFormat="1" ht="19.5" thickBot="1">
      <c r="A521" s="73" t="s">
        <v>16</v>
      </c>
      <c r="B521" s="74"/>
      <c r="C521" s="75"/>
      <c r="D521" s="75"/>
      <c r="E521" s="75"/>
      <c r="F521" s="76">
        <f>SUM(F10,F77,F112,F153,F251,F331,F380,F488)</f>
        <v>1654429.9</v>
      </c>
      <c r="G521" s="76">
        <f>SUM(G10,G77,G112,G153,G251,G331,G380,G488)</f>
        <v>1317695.2</v>
      </c>
      <c r="H521" s="76">
        <f>SUM(H10,H77,H112,H153,H251,H331,H380,H488)</f>
        <v>91111</v>
      </c>
      <c r="I521" s="95">
        <f>SUM(I10,I77,I112,I153,I251,I331,I380,I488)</f>
        <v>245623.7</v>
      </c>
    </row>
    <row r="522" spans="1:5" s="6" customFormat="1" ht="18.75">
      <c r="A522" s="24"/>
      <c r="B522" s="18"/>
      <c r="C522" s="19"/>
      <c r="D522" s="19"/>
      <c r="E522" s="19"/>
    </row>
    <row r="523" spans="1:5" s="5" customFormat="1" ht="18.75">
      <c r="A523" s="25"/>
      <c r="B523" s="21"/>
      <c r="C523" s="22"/>
      <c r="D523" s="22"/>
      <c r="E523" s="22"/>
    </row>
    <row r="524" spans="1:2" s="5" customFormat="1" ht="18.75">
      <c r="A524" s="26"/>
      <c r="B524" s="20"/>
    </row>
    <row r="525" spans="1:2" s="5" customFormat="1" ht="18.75">
      <c r="A525" s="26"/>
      <c r="B525" s="20"/>
    </row>
    <row r="526" spans="1:2" s="5" customFormat="1" ht="18.75">
      <c r="A526" s="26"/>
      <c r="B526" s="20"/>
    </row>
    <row r="527" spans="1:2" s="5" customFormat="1" ht="18.75">
      <c r="A527" s="26"/>
      <c r="B527" s="20"/>
    </row>
    <row r="528" spans="1:5" s="5" customFormat="1" ht="18.75">
      <c r="A528" s="25"/>
      <c r="B528" s="21"/>
      <c r="C528" s="22"/>
      <c r="D528" s="22"/>
      <c r="E528" s="22"/>
    </row>
    <row r="529" spans="1:5" s="5" customFormat="1" ht="18.75">
      <c r="A529" s="25"/>
      <c r="B529" s="21"/>
      <c r="C529" s="22"/>
      <c r="D529" s="22"/>
      <c r="E529" s="22"/>
    </row>
    <row r="530" spans="1:5" s="5" customFormat="1" ht="18.75">
      <c r="A530" s="25"/>
      <c r="B530" s="21"/>
      <c r="C530" s="22"/>
      <c r="D530" s="22"/>
      <c r="E530" s="22"/>
    </row>
    <row r="531" spans="1:5" s="5" customFormat="1" ht="18.75">
      <c r="A531" s="25"/>
      <c r="B531" s="21"/>
      <c r="C531" s="22"/>
      <c r="D531" s="22"/>
      <c r="E531" s="22"/>
    </row>
    <row r="532" spans="1:5" s="5" customFormat="1" ht="18.75">
      <c r="A532" s="25"/>
      <c r="B532" s="21"/>
      <c r="C532" s="22"/>
      <c r="D532" s="22"/>
      <c r="E532" s="22"/>
    </row>
    <row r="533" spans="1:5" s="5" customFormat="1" ht="18.75">
      <c r="A533" s="25"/>
      <c r="B533" s="21"/>
      <c r="C533" s="22"/>
      <c r="D533" s="22"/>
      <c r="E533" s="22"/>
    </row>
    <row r="534" spans="1:5" s="5" customFormat="1" ht="18.75">
      <c r="A534" s="25"/>
      <c r="B534" s="21"/>
      <c r="C534" s="22"/>
      <c r="D534" s="22"/>
      <c r="E534" s="22"/>
    </row>
    <row r="535" spans="1:5" s="5" customFormat="1" ht="18.75">
      <c r="A535" s="25"/>
      <c r="B535" s="21"/>
      <c r="C535" s="22"/>
      <c r="D535" s="22"/>
      <c r="E535" s="22"/>
    </row>
    <row r="536" spans="1:5" s="5" customFormat="1" ht="18.75">
      <c r="A536" s="25"/>
      <c r="B536" s="21"/>
      <c r="C536" s="22"/>
      <c r="D536" s="22"/>
      <c r="E536" s="22"/>
    </row>
    <row r="537" spans="1:5" s="5" customFormat="1" ht="18.75">
      <c r="A537" s="25"/>
      <c r="B537" s="21"/>
      <c r="C537" s="22"/>
      <c r="D537" s="22"/>
      <c r="E537" s="22"/>
    </row>
    <row r="538" spans="1:5" s="5" customFormat="1" ht="18.75">
      <c r="A538" s="25"/>
      <c r="B538" s="21"/>
      <c r="C538" s="22"/>
      <c r="D538" s="22"/>
      <c r="E538" s="22"/>
    </row>
    <row r="539" spans="1:5" s="5" customFormat="1" ht="18.75">
      <c r="A539" s="25"/>
      <c r="B539" s="21"/>
      <c r="C539" s="22"/>
      <c r="D539" s="22"/>
      <c r="E539" s="22"/>
    </row>
    <row r="540" spans="1:5" s="5" customFormat="1" ht="18.75">
      <c r="A540" s="25"/>
      <c r="B540" s="21"/>
      <c r="C540" s="22"/>
      <c r="D540" s="22"/>
      <c r="E540" s="22"/>
    </row>
    <row r="541" spans="1:5" s="5" customFormat="1" ht="18.75">
      <c r="A541" s="25"/>
      <c r="B541" s="21"/>
      <c r="C541" s="22"/>
      <c r="D541" s="22"/>
      <c r="E541" s="22"/>
    </row>
    <row r="542" spans="1:5" s="5" customFormat="1" ht="18.75">
      <c r="A542" s="25"/>
      <c r="B542" s="21"/>
      <c r="C542" s="22"/>
      <c r="D542" s="22"/>
      <c r="E542" s="22"/>
    </row>
    <row r="543" spans="1:5" s="5" customFormat="1" ht="18.75">
      <c r="A543" s="25"/>
      <c r="B543" s="21"/>
      <c r="C543" s="22"/>
      <c r="D543" s="22"/>
      <c r="E543" s="22"/>
    </row>
    <row r="544" spans="1:5" s="5" customFormat="1" ht="18.75">
      <c r="A544" s="25"/>
      <c r="B544" s="21"/>
      <c r="C544" s="22"/>
      <c r="D544" s="22"/>
      <c r="E544" s="22"/>
    </row>
    <row r="545" spans="1:5" s="5" customFormat="1" ht="18.75">
      <c r="A545" s="25"/>
      <c r="B545" s="21"/>
      <c r="C545" s="22"/>
      <c r="D545" s="22"/>
      <c r="E545" s="22"/>
    </row>
    <row r="546" spans="1:5" s="5" customFormat="1" ht="18.75">
      <c r="A546" s="25"/>
      <c r="B546" s="21"/>
      <c r="C546" s="22"/>
      <c r="D546" s="22"/>
      <c r="E546" s="22"/>
    </row>
    <row r="547" spans="1:5" s="5" customFormat="1" ht="18.75">
      <c r="A547" s="25"/>
      <c r="B547" s="21"/>
      <c r="C547" s="22"/>
      <c r="D547" s="22"/>
      <c r="E547" s="22"/>
    </row>
    <row r="548" spans="1:5" s="5" customFormat="1" ht="18.75">
      <c r="A548" s="25"/>
      <c r="B548" s="21"/>
      <c r="C548" s="22"/>
      <c r="D548" s="22"/>
      <c r="E548" s="22"/>
    </row>
    <row r="549" spans="1:5" s="5" customFormat="1" ht="18.75">
      <c r="A549" s="25"/>
      <c r="B549" s="21"/>
      <c r="C549" s="22"/>
      <c r="D549" s="22"/>
      <c r="E549" s="22"/>
    </row>
    <row r="550" spans="1:5" s="5" customFormat="1" ht="18.75">
      <c r="A550" s="25"/>
      <c r="B550" s="21"/>
      <c r="C550" s="22"/>
      <c r="D550" s="22"/>
      <c r="E550" s="22"/>
    </row>
    <row r="551" spans="1:5" s="5" customFormat="1" ht="18.75">
      <c r="A551" s="25"/>
      <c r="B551" s="21"/>
      <c r="C551" s="22"/>
      <c r="D551" s="22"/>
      <c r="E551" s="22"/>
    </row>
    <row r="552" spans="1:5" s="5" customFormat="1" ht="18.75">
      <c r="A552" s="25"/>
      <c r="B552" s="21"/>
      <c r="C552" s="22"/>
      <c r="D552" s="22"/>
      <c r="E552" s="22"/>
    </row>
    <row r="553" spans="1:5" s="5" customFormat="1" ht="18.75">
      <c r="A553" s="25"/>
      <c r="B553" s="21"/>
      <c r="C553" s="22"/>
      <c r="D553" s="22"/>
      <c r="E553" s="22"/>
    </row>
    <row r="554" spans="1:5" s="5" customFormat="1" ht="18.75">
      <c r="A554" s="25"/>
      <c r="B554" s="21"/>
      <c r="C554" s="22"/>
      <c r="D554" s="22"/>
      <c r="E554" s="22"/>
    </row>
    <row r="555" spans="1:5" s="5" customFormat="1" ht="18.75">
      <c r="A555" s="25"/>
      <c r="B555" s="21"/>
      <c r="C555" s="22"/>
      <c r="D555" s="22"/>
      <c r="E555" s="22"/>
    </row>
    <row r="556" spans="1:5" s="5" customFormat="1" ht="18.75">
      <c r="A556" s="25"/>
      <c r="B556" s="21"/>
      <c r="C556" s="22"/>
      <c r="D556" s="22"/>
      <c r="E556" s="22"/>
    </row>
    <row r="557" spans="1:5" s="5" customFormat="1" ht="18.75">
      <c r="A557" s="25"/>
      <c r="B557" s="21"/>
      <c r="C557" s="22"/>
      <c r="D557" s="22"/>
      <c r="E557" s="22"/>
    </row>
    <row r="558" spans="1:5" s="5" customFormat="1" ht="18.75">
      <c r="A558" s="25"/>
      <c r="B558" s="21"/>
      <c r="C558" s="22"/>
      <c r="D558" s="22"/>
      <c r="E558" s="22"/>
    </row>
    <row r="559" spans="1:5" s="5" customFormat="1" ht="18.75">
      <c r="A559" s="25"/>
      <c r="B559" s="21"/>
      <c r="C559" s="22"/>
      <c r="D559" s="22"/>
      <c r="E559" s="22"/>
    </row>
    <row r="560" spans="1:5" s="5" customFormat="1" ht="18.75">
      <c r="A560" s="25"/>
      <c r="B560" s="21"/>
      <c r="C560" s="22"/>
      <c r="D560" s="22"/>
      <c r="E560" s="22"/>
    </row>
    <row r="561" spans="1:5" s="5" customFormat="1" ht="18.75">
      <c r="A561" s="25"/>
      <c r="B561" s="21"/>
      <c r="C561" s="22"/>
      <c r="D561" s="22"/>
      <c r="E561" s="22"/>
    </row>
    <row r="562" spans="1:5" s="5" customFormat="1" ht="18.75">
      <c r="A562" s="25"/>
      <c r="B562" s="21"/>
      <c r="C562" s="22"/>
      <c r="D562" s="22"/>
      <c r="E562" s="22"/>
    </row>
    <row r="563" spans="1:5" s="5" customFormat="1" ht="18.75">
      <c r="A563" s="27"/>
      <c r="B563" s="21"/>
      <c r="C563" s="22"/>
      <c r="D563" s="22"/>
      <c r="E563" s="22"/>
    </row>
    <row r="564" spans="1:5" s="5" customFormat="1" ht="18.75">
      <c r="A564" s="27"/>
      <c r="B564" s="21"/>
      <c r="C564" s="22"/>
      <c r="D564" s="22"/>
      <c r="E564" s="22"/>
    </row>
    <row r="565" spans="1:5" s="5" customFormat="1" ht="18.75">
      <c r="A565" s="27"/>
      <c r="B565" s="21"/>
      <c r="C565" s="22"/>
      <c r="D565" s="22"/>
      <c r="E565" s="22"/>
    </row>
    <row r="566" spans="1:5" s="5" customFormat="1" ht="18.75">
      <c r="A566" s="27"/>
      <c r="B566" s="21"/>
      <c r="C566" s="22"/>
      <c r="D566" s="22"/>
      <c r="E566" s="22"/>
    </row>
    <row r="567" spans="1:5" s="5" customFormat="1" ht="18.75">
      <c r="A567" s="27"/>
      <c r="B567" s="21"/>
      <c r="C567" s="22"/>
      <c r="D567" s="22"/>
      <c r="E567" s="22"/>
    </row>
    <row r="568" spans="1:5" s="5" customFormat="1" ht="18.75">
      <c r="A568" s="27"/>
      <c r="B568" s="21"/>
      <c r="C568" s="22"/>
      <c r="D568" s="22"/>
      <c r="E568" s="22"/>
    </row>
    <row r="569" spans="1:5" s="5" customFormat="1" ht="18.75">
      <c r="A569" s="25"/>
      <c r="B569" s="21"/>
      <c r="C569" s="22"/>
      <c r="D569" s="22"/>
      <c r="E569" s="22"/>
    </row>
    <row r="570" spans="1:5" s="5" customFormat="1" ht="18.75">
      <c r="A570" s="25"/>
      <c r="B570" s="21"/>
      <c r="C570" s="22"/>
      <c r="D570" s="22"/>
      <c r="E570" s="22"/>
    </row>
    <row r="571" spans="1:5" s="5" customFormat="1" ht="18.75">
      <c r="A571" s="25"/>
      <c r="B571" s="21"/>
      <c r="C571" s="22"/>
      <c r="D571" s="22"/>
      <c r="E571" s="22"/>
    </row>
    <row r="572" spans="1:5" s="5" customFormat="1" ht="18.75">
      <c r="A572" s="25"/>
      <c r="B572" s="21"/>
      <c r="C572" s="22"/>
      <c r="D572" s="22"/>
      <c r="E572" s="22"/>
    </row>
    <row r="573" spans="1:5" s="5" customFormat="1" ht="18.75">
      <c r="A573" s="25"/>
      <c r="B573" s="21"/>
      <c r="C573" s="22"/>
      <c r="D573" s="22"/>
      <c r="E573" s="22"/>
    </row>
    <row r="574" spans="1:5" s="5" customFormat="1" ht="18.75">
      <c r="A574" s="25"/>
      <c r="B574" s="21"/>
      <c r="C574" s="22"/>
      <c r="D574" s="22"/>
      <c r="E574" s="22"/>
    </row>
    <row r="575" spans="1:5" s="5" customFormat="1" ht="18.75">
      <c r="A575" s="25"/>
      <c r="B575" s="21"/>
      <c r="C575" s="22"/>
      <c r="D575" s="22"/>
      <c r="E575" s="22"/>
    </row>
    <row r="576" spans="1:5" s="5" customFormat="1" ht="18.75">
      <c r="A576" s="25"/>
      <c r="B576" s="21"/>
      <c r="C576" s="22"/>
      <c r="D576" s="22"/>
      <c r="E576" s="22"/>
    </row>
    <row r="577" spans="1:5" s="5" customFormat="1" ht="18.75">
      <c r="A577" s="25"/>
      <c r="B577" s="21"/>
      <c r="C577" s="22"/>
      <c r="D577" s="22"/>
      <c r="E577" s="22"/>
    </row>
    <row r="578" spans="1:5" s="5" customFormat="1" ht="18.75">
      <c r="A578" s="25"/>
      <c r="B578" s="21"/>
      <c r="C578" s="22"/>
      <c r="D578" s="22"/>
      <c r="E578" s="22"/>
    </row>
    <row r="579" spans="1:5" s="5" customFormat="1" ht="18.75">
      <c r="A579" s="25"/>
      <c r="B579" s="21"/>
      <c r="C579" s="22"/>
      <c r="D579" s="22"/>
      <c r="E579" s="22"/>
    </row>
    <row r="580" spans="1:5" s="5" customFormat="1" ht="18.75">
      <c r="A580" s="25"/>
      <c r="B580" s="21"/>
      <c r="C580" s="22"/>
      <c r="D580" s="22"/>
      <c r="E580" s="22"/>
    </row>
    <row r="581" spans="1:5" s="5" customFormat="1" ht="18.75">
      <c r="A581" s="25"/>
      <c r="B581" s="21"/>
      <c r="C581" s="22"/>
      <c r="D581" s="22"/>
      <c r="E581" s="22"/>
    </row>
    <row r="582" spans="1:5" s="5" customFormat="1" ht="18.75">
      <c r="A582" s="25"/>
      <c r="B582" s="21"/>
      <c r="C582" s="22"/>
      <c r="D582" s="22"/>
      <c r="E582" s="22"/>
    </row>
    <row r="583" spans="1:5" s="5" customFormat="1" ht="18.75">
      <c r="A583" s="25"/>
      <c r="B583" s="21"/>
      <c r="C583" s="22"/>
      <c r="D583" s="22"/>
      <c r="E583" s="22"/>
    </row>
    <row r="584" spans="1:5" s="5" customFormat="1" ht="18.75">
      <c r="A584" s="25"/>
      <c r="B584" s="21"/>
      <c r="C584" s="22"/>
      <c r="D584" s="22"/>
      <c r="E584" s="22"/>
    </row>
    <row r="585" spans="1:5" s="5" customFormat="1" ht="18.75">
      <c r="A585" s="25"/>
      <c r="B585" s="21"/>
      <c r="C585" s="22"/>
      <c r="D585" s="22"/>
      <c r="E585" s="22"/>
    </row>
    <row r="586" spans="1:5" s="5" customFormat="1" ht="18.75">
      <c r="A586" s="25"/>
      <c r="B586" s="21"/>
      <c r="C586" s="22"/>
      <c r="D586" s="22"/>
      <c r="E586" s="22"/>
    </row>
    <row r="587" spans="1:5" s="5" customFormat="1" ht="18.75">
      <c r="A587" s="25"/>
      <c r="B587" s="21"/>
      <c r="C587" s="22"/>
      <c r="D587" s="22"/>
      <c r="E587" s="22"/>
    </row>
    <row r="588" spans="1:5" s="5" customFormat="1" ht="18.75">
      <c r="A588" s="25"/>
      <c r="B588" s="21"/>
      <c r="C588" s="22"/>
      <c r="D588" s="22"/>
      <c r="E588" s="22"/>
    </row>
    <row r="589" spans="1:5" s="5" customFormat="1" ht="18.75">
      <c r="A589" s="25"/>
      <c r="B589" s="21"/>
      <c r="C589" s="22"/>
      <c r="D589" s="22"/>
      <c r="E589" s="22"/>
    </row>
    <row r="590" spans="1:5" s="5" customFormat="1" ht="18.75">
      <c r="A590" s="25"/>
      <c r="B590" s="21"/>
      <c r="C590" s="22"/>
      <c r="D590" s="22"/>
      <c r="E590" s="22"/>
    </row>
    <row r="591" spans="1:5" s="5" customFormat="1" ht="18.75">
      <c r="A591" s="25"/>
      <c r="B591" s="21"/>
      <c r="C591" s="22"/>
      <c r="D591" s="22"/>
      <c r="E591" s="22"/>
    </row>
    <row r="592" spans="1:5" s="5" customFormat="1" ht="18.75">
      <c r="A592" s="25"/>
      <c r="B592" s="21"/>
      <c r="C592" s="22"/>
      <c r="D592" s="22"/>
      <c r="E592" s="22"/>
    </row>
    <row r="593" spans="1:5" s="5" customFormat="1" ht="18.75">
      <c r="A593" s="25"/>
      <c r="B593" s="21"/>
      <c r="C593" s="22"/>
      <c r="D593" s="22"/>
      <c r="E593" s="22"/>
    </row>
    <row r="594" spans="1:5" s="5" customFormat="1" ht="18.75">
      <c r="A594" s="25"/>
      <c r="B594" s="21"/>
      <c r="C594" s="22"/>
      <c r="D594" s="22"/>
      <c r="E594" s="22"/>
    </row>
    <row r="595" spans="1:5" s="5" customFormat="1" ht="18.75">
      <c r="A595" s="25"/>
      <c r="B595" s="21"/>
      <c r="C595" s="22"/>
      <c r="D595" s="22"/>
      <c r="E595" s="22"/>
    </row>
    <row r="596" spans="1:5" s="5" customFormat="1" ht="18.75">
      <c r="A596" s="25"/>
      <c r="B596" s="21"/>
      <c r="C596" s="22"/>
      <c r="D596" s="22"/>
      <c r="E596" s="22"/>
    </row>
    <row r="597" spans="1:5" s="5" customFormat="1" ht="18.75">
      <c r="A597" s="25"/>
      <c r="B597" s="21"/>
      <c r="C597" s="22"/>
      <c r="D597" s="22"/>
      <c r="E597" s="22"/>
    </row>
    <row r="598" spans="1:5" s="5" customFormat="1" ht="18.75">
      <c r="A598" s="25"/>
      <c r="B598" s="21"/>
      <c r="C598" s="22"/>
      <c r="D598" s="22"/>
      <c r="E598" s="22"/>
    </row>
    <row r="599" spans="1:5" s="5" customFormat="1" ht="18.75">
      <c r="A599" s="25"/>
      <c r="B599" s="21"/>
      <c r="C599" s="22"/>
      <c r="D599" s="22"/>
      <c r="E599" s="22"/>
    </row>
    <row r="600" spans="1:5" s="5" customFormat="1" ht="18.75">
      <c r="A600" s="25"/>
      <c r="B600" s="21"/>
      <c r="C600" s="22"/>
      <c r="D600" s="22"/>
      <c r="E600" s="22"/>
    </row>
    <row r="601" spans="1:5" s="5" customFormat="1" ht="18.75">
      <c r="A601" s="25"/>
      <c r="B601" s="21"/>
      <c r="C601" s="22"/>
      <c r="D601" s="22"/>
      <c r="E601" s="22"/>
    </row>
    <row r="602" spans="1:5" s="5" customFormat="1" ht="18.75">
      <c r="A602" s="25"/>
      <c r="B602" s="21"/>
      <c r="C602" s="22"/>
      <c r="D602" s="22"/>
      <c r="E602" s="22"/>
    </row>
    <row r="603" spans="1:5" s="5" customFormat="1" ht="18.75">
      <c r="A603" s="25"/>
      <c r="B603" s="21"/>
      <c r="C603" s="22"/>
      <c r="D603" s="22"/>
      <c r="E603" s="22"/>
    </row>
    <row r="604" spans="1:5" s="5" customFormat="1" ht="18.75">
      <c r="A604" s="25"/>
      <c r="B604" s="21"/>
      <c r="C604" s="22"/>
      <c r="D604" s="22"/>
      <c r="E604" s="22"/>
    </row>
    <row r="605" spans="1:5" s="5" customFormat="1" ht="18.75">
      <c r="A605" s="25"/>
      <c r="B605" s="21"/>
      <c r="C605" s="22"/>
      <c r="D605" s="22"/>
      <c r="E605" s="22"/>
    </row>
    <row r="606" spans="1:5" s="5" customFormat="1" ht="18.75">
      <c r="A606" s="25"/>
      <c r="B606" s="21"/>
      <c r="C606" s="22"/>
      <c r="D606" s="22"/>
      <c r="E606" s="22"/>
    </row>
    <row r="607" spans="1:5" s="5" customFormat="1" ht="18.75">
      <c r="A607" s="25"/>
      <c r="B607" s="21"/>
      <c r="C607" s="22"/>
      <c r="D607" s="22"/>
      <c r="E607" s="22"/>
    </row>
    <row r="608" spans="1:5" s="5" customFormat="1" ht="18.75">
      <c r="A608" s="25"/>
      <c r="B608" s="21"/>
      <c r="C608" s="22"/>
      <c r="D608" s="22"/>
      <c r="E608" s="22"/>
    </row>
    <row r="609" spans="1:5" s="5" customFormat="1" ht="18.75">
      <c r="A609" s="25"/>
      <c r="B609" s="21"/>
      <c r="C609" s="22"/>
      <c r="D609" s="22"/>
      <c r="E609" s="22"/>
    </row>
    <row r="610" spans="1:5" s="5" customFormat="1" ht="18.75">
      <c r="A610" s="25"/>
      <c r="B610" s="21"/>
      <c r="C610" s="22"/>
      <c r="D610" s="22"/>
      <c r="E610" s="22"/>
    </row>
    <row r="611" spans="1:5" s="5" customFormat="1" ht="18.75">
      <c r="A611" s="25"/>
      <c r="B611" s="21"/>
      <c r="C611" s="22"/>
      <c r="D611" s="22"/>
      <c r="E611" s="22"/>
    </row>
    <row r="612" spans="1:5" s="5" customFormat="1" ht="18.75">
      <c r="A612" s="25"/>
      <c r="B612" s="21"/>
      <c r="C612" s="22"/>
      <c r="D612" s="22"/>
      <c r="E612" s="22"/>
    </row>
    <row r="613" spans="1:5" s="5" customFormat="1" ht="18.75">
      <c r="A613" s="25"/>
      <c r="B613" s="21"/>
      <c r="C613" s="22"/>
      <c r="D613" s="22"/>
      <c r="E613" s="22"/>
    </row>
    <row r="614" spans="1:5" s="5" customFormat="1" ht="18.75">
      <c r="A614" s="25"/>
      <c r="B614" s="21"/>
      <c r="C614" s="22"/>
      <c r="D614" s="22"/>
      <c r="E614" s="22"/>
    </row>
    <row r="615" spans="1:5" s="5" customFormat="1" ht="18.75">
      <c r="A615" s="25"/>
      <c r="B615" s="21"/>
      <c r="C615" s="22"/>
      <c r="D615" s="22"/>
      <c r="E615" s="22"/>
    </row>
    <row r="616" spans="1:5" s="5" customFormat="1" ht="18.75">
      <c r="A616" s="25"/>
      <c r="B616" s="21"/>
      <c r="C616" s="22"/>
      <c r="D616" s="22"/>
      <c r="E616" s="22"/>
    </row>
    <row r="617" spans="1:5" s="5" customFormat="1" ht="18.75">
      <c r="A617" s="25"/>
      <c r="B617" s="21"/>
      <c r="C617" s="22"/>
      <c r="D617" s="22"/>
      <c r="E617" s="22"/>
    </row>
    <row r="618" spans="1:5" s="5" customFormat="1" ht="18.75">
      <c r="A618" s="25"/>
      <c r="B618" s="21"/>
      <c r="C618" s="22"/>
      <c r="D618" s="22"/>
      <c r="E618" s="22"/>
    </row>
    <row r="619" spans="1:5" s="5" customFormat="1" ht="18.75">
      <c r="A619" s="25"/>
      <c r="B619" s="21"/>
      <c r="C619" s="22"/>
      <c r="D619" s="22"/>
      <c r="E619" s="22"/>
    </row>
    <row r="620" spans="1:5" s="5" customFormat="1" ht="18.75">
      <c r="A620" s="25"/>
      <c r="B620" s="21"/>
      <c r="C620" s="22"/>
      <c r="D620" s="22"/>
      <c r="E620" s="22"/>
    </row>
    <row r="621" spans="1:5" s="5" customFormat="1" ht="18.75">
      <c r="A621" s="25"/>
      <c r="B621" s="21"/>
      <c r="C621" s="22"/>
      <c r="D621" s="22"/>
      <c r="E621" s="22"/>
    </row>
    <row r="622" spans="1:5" s="5" customFormat="1" ht="18.75">
      <c r="A622" s="25"/>
      <c r="B622" s="21"/>
      <c r="C622" s="22"/>
      <c r="D622" s="22"/>
      <c r="E622" s="22"/>
    </row>
    <row r="623" spans="1:5" s="5" customFormat="1" ht="18.75">
      <c r="A623" s="25"/>
      <c r="B623" s="21"/>
      <c r="C623" s="22"/>
      <c r="D623" s="22"/>
      <c r="E623" s="22"/>
    </row>
    <row r="624" spans="1:5" s="5" customFormat="1" ht="18.75">
      <c r="A624" s="25"/>
      <c r="B624" s="21"/>
      <c r="C624" s="22"/>
      <c r="D624" s="22"/>
      <c r="E624" s="22"/>
    </row>
    <row r="625" spans="1:5" s="5" customFormat="1" ht="18.75">
      <c r="A625" s="25"/>
      <c r="B625" s="21"/>
      <c r="C625" s="22"/>
      <c r="D625" s="22"/>
      <c r="E625" s="22"/>
    </row>
    <row r="626" spans="1:5" s="5" customFormat="1" ht="18.75">
      <c r="A626" s="25"/>
      <c r="B626" s="21"/>
      <c r="C626" s="22"/>
      <c r="D626" s="22"/>
      <c r="E626" s="22"/>
    </row>
    <row r="627" spans="1:5" s="5" customFormat="1" ht="18.75">
      <c r="A627" s="25"/>
      <c r="B627" s="21"/>
      <c r="C627" s="22"/>
      <c r="D627" s="22"/>
      <c r="E627" s="22"/>
    </row>
    <row r="628" spans="1:5" s="5" customFormat="1" ht="18.75">
      <c r="A628" s="25"/>
      <c r="B628" s="21"/>
      <c r="C628" s="22"/>
      <c r="D628" s="22"/>
      <c r="E628" s="22"/>
    </row>
    <row r="629" spans="1:5" s="5" customFormat="1" ht="18.75">
      <c r="A629" s="25"/>
      <c r="B629" s="21"/>
      <c r="C629" s="22"/>
      <c r="D629" s="22"/>
      <c r="E629" s="22"/>
    </row>
    <row r="630" spans="1:5" s="5" customFormat="1" ht="18.75">
      <c r="A630" s="25"/>
      <c r="B630" s="21"/>
      <c r="C630" s="22"/>
      <c r="D630" s="22"/>
      <c r="E630" s="22"/>
    </row>
    <row r="631" spans="1:5" s="5" customFormat="1" ht="18.75">
      <c r="A631" s="25"/>
      <c r="B631" s="21"/>
      <c r="C631" s="22"/>
      <c r="D631" s="22"/>
      <c r="E631" s="22"/>
    </row>
    <row r="632" spans="1:5" s="5" customFormat="1" ht="18.75">
      <c r="A632" s="25"/>
      <c r="B632" s="21"/>
      <c r="C632" s="22"/>
      <c r="D632" s="22"/>
      <c r="E632" s="22"/>
    </row>
    <row r="633" spans="1:5" s="5" customFormat="1" ht="18.75">
      <c r="A633" s="25"/>
      <c r="B633" s="21"/>
      <c r="C633" s="22"/>
      <c r="D633" s="22"/>
      <c r="E633" s="22"/>
    </row>
    <row r="634" spans="1:5" s="5" customFormat="1" ht="18.75">
      <c r="A634" s="25"/>
      <c r="B634" s="21"/>
      <c r="C634" s="22"/>
      <c r="D634" s="22"/>
      <c r="E634" s="22"/>
    </row>
    <row r="635" spans="1:5" s="5" customFormat="1" ht="18.75">
      <c r="A635" s="25"/>
      <c r="B635" s="21"/>
      <c r="C635" s="22"/>
      <c r="D635" s="22"/>
      <c r="E635" s="22"/>
    </row>
    <row r="636" spans="1:5" s="5" customFormat="1" ht="18.75">
      <c r="A636" s="25"/>
      <c r="B636" s="21"/>
      <c r="C636" s="22"/>
      <c r="D636" s="22"/>
      <c r="E636" s="22"/>
    </row>
    <row r="637" spans="1:5" s="5" customFormat="1" ht="18.75">
      <c r="A637" s="25"/>
      <c r="B637" s="21"/>
      <c r="C637" s="22"/>
      <c r="D637" s="22"/>
      <c r="E637" s="22"/>
    </row>
    <row r="638" spans="1:5" s="5" customFormat="1" ht="18.75">
      <c r="A638" s="25"/>
      <c r="B638" s="21"/>
      <c r="C638" s="22"/>
      <c r="D638" s="22"/>
      <c r="E638" s="22"/>
    </row>
    <row r="639" spans="1:5" s="5" customFormat="1" ht="18.75">
      <c r="A639" s="25"/>
      <c r="B639" s="21"/>
      <c r="C639" s="22"/>
      <c r="D639" s="22"/>
      <c r="E639" s="22"/>
    </row>
    <row r="640" spans="1:5" s="5" customFormat="1" ht="18.75">
      <c r="A640" s="25"/>
      <c r="B640" s="21"/>
      <c r="C640" s="22"/>
      <c r="D640" s="22"/>
      <c r="E640" s="22"/>
    </row>
    <row r="641" spans="1:5" s="5" customFormat="1" ht="18.75">
      <c r="A641" s="25"/>
      <c r="B641" s="21"/>
      <c r="C641" s="22"/>
      <c r="D641" s="22"/>
      <c r="E641" s="22"/>
    </row>
    <row r="642" spans="1:5" s="5" customFormat="1" ht="18.75">
      <c r="A642" s="25"/>
      <c r="B642" s="21"/>
      <c r="C642" s="22"/>
      <c r="D642" s="22"/>
      <c r="E642" s="22"/>
    </row>
    <row r="643" spans="1:5" s="5" customFormat="1" ht="18.75">
      <c r="A643" s="25"/>
      <c r="B643" s="21"/>
      <c r="C643" s="22"/>
      <c r="D643" s="22"/>
      <c r="E643" s="22"/>
    </row>
    <row r="644" spans="1:5" s="5" customFormat="1" ht="18.75">
      <c r="A644" s="25"/>
      <c r="B644" s="21"/>
      <c r="C644" s="22"/>
      <c r="D644" s="22"/>
      <c r="E644" s="22"/>
    </row>
    <row r="645" spans="1:5" s="5" customFormat="1" ht="18.75">
      <c r="A645" s="25"/>
      <c r="B645" s="21"/>
      <c r="C645" s="22"/>
      <c r="D645" s="22"/>
      <c r="E645" s="22"/>
    </row>
    <row r="646" spans="1:5" s="5" customFormat="1" ht="18.75">
      <c r="A646" s="25"/>
      <c r="B646" s="21"/>
      <c r="C646" s="22"/>
      <c r="D646" s="22"/>
      <c r="E646" s="22"/>
    </row>
    <row r="647" spans="1:5" s="5" customFormat="1" ht="18.75">
      <c r="A647" s="25"/>
      <c r="B647" s="21"/>
      <c r="C647" s="22"/>
      <c r="D647" s="22"/>
      <c r="E647" s="22"/>
    </row>
    <row r="648" spans="1:5" s="5" customFormat="1" ht="18.75">
      <c r="A648" s="25"/>
      <c r="B648" s="21"/>
      <c r="C648" s="22"/>
      <c r="D648" s="22"/>
      <c r="E648" s="22"/>
    </row>
    <row r="649" spans="1:5" s="5" customFormat="1" ht="18.75">
      <c r="A649" s="25"/>
      <c r="B649" s="21"/>
      <c r="C649" s="22"/>
      <c r="D649" s="22"/>
      <c r="E649" s="22"/>
    </row>
    <row r="650" spans="1:5" s="5" customFormat="1" ht="18.75">
      <c r="A650" s="25"/>
      <c r="B650" s="21"/>
      <c r="C650" s="22"/>
      <c r="D650" s="22"/>
      <c r="E650" s="22"/>
    </row>
    <row r="651" spans="1:5" s="5" customFormat="1" ht="18.75">
      <c r="A651" s="25"/>
      <c r="B651" s="21"/>
      <c r="C651" s="22"/>
      <c r="D651" s="22"/>
      <c r="E651" s="22"/>
    </row>
    <row r="652" spans="1:5" s="5" customFormat="1" ht="18.75">
      <c r="A652" s="25"/>
      <c r="B652" s="21"/>
      <c r="C652" s="22"/>
      <c r="D652" s="22"/>
      <c r="E652" s="22"/>
    </row>
    <row r="653" spans="1:5" s="5" customFormat="1" ht="18.75">
      <c r="A653" s="25"/>
      <c r="B653" s="21"/>
      <c r="C653" s="22"/>
      <c r="D653" s="22"/>
      <c r="E653" s="22"/>
    </row>
    <row r="654" spans="1:5" s="5" customFormat="1" ht="18.75">
      <c r="A654" s="25"/>
      <c r="B654" s="21"/>
      <c r="C654" s="22"/>
      <c r="D654" s="22"/>
      <c r="E654" s="22"/>
    </row>
    <row r="655" spans="1:5" s="5" customFormat="1" ht="18.75">
      <c r="A655" s="25"/>
      <c r="B655" s="21"/>
      <c r="C655" s="22"/>
      <c r="D655" s="22"/>
      <c r="E655" s="22"/>
    </row>
    <row r="656" spans="1:5" s="5" customFormat="1" ht="18.75">
      <c r="A656" s="25"/>
      <c r="B656" s="21"/>
      <c r="C656" s="22"/>
      <c r="D656" s="22"/>
      <c r="E656" s="22"/>
    </row>
    <row r="657" spans="1:5" s="5" customFormat="1" ht="18.75">
      <c r="A657" s="25"/>
      <c r="B657" s="21"/>
      <c r="C657" s="22"/>
      <c r="D657" s="22"/>
      <c r="E657" s="22"/>
    </row>
    <row r="658" spans="1:5" s="5" customFormat="1" ht="18.75">
      <c r="A658" s="25"/>
      <c r="B658" s="21"/>
      <c r="C658" s="22"/>
      <c r="D658" s="22"/>
      <c r="E658" s="22"/>
    </row>
    <row r="659" spans="1:5" s="5" customFormat="1" ht="18.75">
      <c r="A659" s="25"/>
      <c r="B659" s="21"/>
      <c r="C659" s="22"/>
      <c r="D659" s="22"/>
      <c r="E659" s="22"/>
    </row>
    <row r="660" spans="1:5" s="5" customFormat="1" ht="18.75">
      <c r="A660" s="25"/>
      <c r="B660" s="21"/>
      <c r="C660" s="22"/>
      <c r="D660" s="22"/>
      <c r="E660" s="22"/>
    </row>
    <row r="661" spans="1:5" s="5" customFormat="1" ht="18.75">
      <c r="A661" s="25"/>
      <c r="B661" s="21"/>
      <c r="C661" s="22"/>
      <c r="D661" s="22"/>
      <c r="E661" s="22"/>
    </row>
    <row r="662" spans="1:5" s="5" customFormat="1" ht="18.75">
      <c r="A662" s="25"/>
      <c r="B662" s="21"/>
      <c r="C662" s="22"/>
      <c r="D662" s="22"/>
      <c r="E662" s="22"/>
    </row>
    <row r="663" spans="1:5" s="5" customFormat="1" ht="18.75">
      <c r="A663" s="25"/>
      <c r="B663" s="21"/>
      <c r="C663" s="22"/>
      <c r="D663" s="22"/>
      <c r="E663" s="22"/>
    </row>
    <row r="664" spans="1:5" s="5" customFormat="1" ht="18.75">
      <c r="A664" s="25"/>
      <c r="B664" s="21"/>
      <c r="C664" s="22"/>
      <c r="D664" s="22"/>
      <c r="E664" s="22"/>
    </row>
    <row r="665" spans="1:5" s="5" customFormat="1" ht="18.75">
      <c r="A665" s="25"/>
      <c r="B665" s="21"/>
      <c r="C665" s="22"/>
      <c r="D665" s="22"/>
      <c r="E665" s="22"/>
    </row>
    <row r="666" spans="1:5" s="5" customFormat="1" ht="18.75">
      <c r="A666" s="25"/>
      <c r="B666" s="21"/>
      <c r="C666" s="22"/>
      <c r="D666" s="22"/>
      <c r="E666" s="22"/>
    </row>
    <row r="667" spans="1:5" s="5" customFormat="1" ht="18.75">
      <c r="A667" s="25"/>
      <c r="B667" s="21"/>
      <c r="C667" s="22"/>
      <c r="D667" s="22"/>
      <c r="E667" s="22"/>
    </row>
    <row r="668" spans="1:5" s="5" customFormat="1" ht="18.75">
      <c r="A668" s="25"/>
      <c r="B668" s="21"/>
      <c r="C668" s="22"/>
      <c r="D668" s="22"/>
      <c r="E668" s="22"/>
    </row>
    <row r="669" spans="1:5" s="5" customFormat="1" ht="18.75">
      <c r="A669" s="25"/>
      <c r="B669" s="21"/>
      <c r="C669" s="22"/>
      <c r="D669" s="22"/>
      <c r="E669" s="22"/>
    </row>
    <row r="670" spans="1:5" s="5" customFormat="1" ht="18.75">
      <c r="A670" s="25"/>
      <c r="B670" s="21"/>
      <c r="C670" s="22"/>
      <c r="D670" s="22"/>
      <c r="E670" s="22"/>
    </row>
    <row r="671" spans="1:5" s="5" customFormat="1" ht="18.75">
      <c r="A671" s="25"/>
      <c r="B671" s="21"/>
      <c r="C671" s="22"/>
      <c r="D671" s="22"/>
      <c r="E671" s="22"/>
    </row>
    <row r="672" spans="1:5" s="5" customFormat="1" ht="18.75">
      <c r="A672" s="25"/>
      <c r="B672" s="21"/>
      <c r="C672" s="22"/>
      <c r="D672" s="22"/>
      <c r="E672" s="22"/>
    </row>
    <row r="673" spans="1:5" s="5" customFormat="1" ht="18.75">
      <c r="A673" s="25"/>
      <c r="B673" s="21"/>
      <c r="C673" s="22"/>
      <c r="D673" s="22"/>
      <c r="E673" s="22"/>
    </row>
    <row r="674" spans="1:5" s="5" customFormat="1" ht="18.75">
      <c r="A674" s="25"/>
      <c r="B674" s="21"/>
      <c r="C674" s="22"/>
      <c r="D674" s="22"/>
      <c r="E674" s="22"/>
    </row>
    <row r="675" spans="1:5" s="5" customFormat="1" ht="18.75">
      <c r="A675" s="25"/>
      <c r="B675" s="21"/>
      <c r="C675" s="22"/>
      <c r="D675" s="22"/>
      <c r="E675" s="22"/>
    </row>
    <row r="676" spans="1:5" s="5" customFormat="1" ht="18.75">
      <c r="A676" s="25"/>
      <c r="B676" s="21"/>
      <c r="C676" s="22"/>
      <c r="D676" s="22"/>
      <c r="E676" s="22"/>
    </row>
    <row r="677" spans="1:5" s="5" customFormat="1" ht="18.75">
      <c r="A677" s="25"/>
      <c r="B677" s="21"/>
      <c r="C677" s="22"/>
      <c r="D677" s="22"/>
      <c r="E677" s="22"/>
    </row>
    <row r="678" spans="1:5" s="5" customFormat="1" ht="18.75">
      <c r="A678" s="25"/>
      <c r="B678" s="21"/>
      <c r="C678" s="22"/>
      <c r="D678" s="22"/>
      <c r="E678" s="22"/>
    </row>
    <row r="679" spans="1:5" s="5" customFormat="1" ht="18.75">
      <c r="A679" s="25"/>
      <c r="B679" s="21"/>
      <c r="C679" s="22"/>
      <c r="D679" s="22"/>
      <c r="E679" s="22"/>
    </row>
    <row r="680" spans="1:5" s="5" customFormat="1" ht="18.75">
      <c r="A680" s="25"/>
      <c r="B680" s="21"/>
      <c r="C680" s="22"/>
      <c r="D680" s="22"/>
      <c r="E680" s="22"/>
    </row>
    <row r="681" spans="1:5" s="5" customFormat="1" ht="18.75">
      <c r="A681" s="25"/>
      <c r="B681" s="21"/>
      <c r="C681" s="22"/>
      <c r="D681" s="22"/>
      <c r="E681" s="22"/>
    </row>
    <row r="682" spans="1:5" s="5" customFormat="1" ht="18.75">
      <c r="A682" s="25"/>
      <c r="B682" s="21"/>
      <c r="C682" s="22"/>
      <c r="D682" s="22"/>
      <c r="E682" s="22"/>
    </row>
    <row r="683" spans="1:5" s="5" customFormat="1" ht="18.75">
      <c r="A683" s="25"/>
      <c r="B683" s="21"/>
      <c r="C683" s="22"/>
      <c r="D683" s="22"/>
      <c r="E683" s="22"/>
    </row>
    <row r="684" spans="1:5" s="5" customFormat="1" ht="18.75">
      <c r="A684" s="25"/>
      <c r="B684" s="21"/>
      <c r="C684" s="22"/>
      <c r="D684" s="22"/>
      <c r="E684" s="22"/>
    </row>
    <row r="685" spans="1:5" s="5" customFormat="1" ht="18.75">
      <c r="A685" s="25"/>
      <c r="B685" s="21"/>
      <c r="C685" s="22"/>
      <c r="D685" s="22"/>
      <c r="E685" s="22"/>
    </row>
    <row r="686" spans="1:5" s="5" customFormat="1" ht="18.75">
      <c r="A686" s="25"/>
      <c r="B686" s="21"/>
      <c r="C686" s="22"/>
      <c r="D686" s="22"/>
      <c r="E686" s="22"/>
    </row>
    <row r="687" spans="1:5" s="5" customFormat="1" ht="18.75">
      <c r="A687" s="25"/>
      <c r="B687" s="21"/>
      <c r="C687" s="22"/>
      <c r="D687" s="22"/>
      <c r="E687" s="22"/>
    </row>
    <row r="688" spans="1:5" s="5" customFormat="1" ht="18.75">
      <c r="A688" s="25"/>
      <c r="B688" s="21"/>
      <c r="C688" s="22"/>
      <c r="D688" s="22"/>
      <c r="E688" s="22"/>
    </row>
    <row r="689" spans="1:5" s="5" customFormat="1" ht="18.75">
      <c r="A689" s="25"/>
      <c r="B689" s="21"/>
      <c r="C689" s="22"/>
      <c r="D689" s="22"/>
      <c r="E689" s="22"/>
    </row>
    <row r="690" spans="1:5" s="5" customFormat="1" ht="18.75">
      <c r="A690" s="25"/>
      <c r="B690" s="21"/>
      <c r="C690" s="22"/>
      <c r="D690" s="22"/>
      <c r="E690" s="22"/>
    </row>
    <row r="691" spans="1:5" s="5" customFormat="1" ht="18.75">
      <c r="A691" s="25"/>
      <c r="B691" s="21"/>
      <c r="C691" s="22"/>
      <c r="D691" s="22"/>
      <c r="E691" s="22"/>
    </row>
    <row r="692" spans="1:5" s="5" customFormat="1" ht="18.75">
      <c r="A692" s="25"/>
      <c r="B692" s="21"/>
      <c r="C692" s="22"/>
      <c r="D692" s="22"/>
      <c r="E692" s="22"/>
    </row>
    <row r="693" spans="1:5" s="5" customFormat="1" ht="18.75">
      <c r="A693" s="25"/>
      <c r="B693" s="21"/>
      <c r="C693" s="22"/>
      <c r="D693" s="22"/>
      <c r="E693" s="22"/>
    </row>
    <row r="694" spans="1:5" s="5" customFormat="1" ht="18.75">
      <c r="A694" s="25"/>
      <c r="B694" s="21"/>
      <c r="C694" s="22"/>
      <c r="D694" s="22"/>
      <c r="E694" s="22"/>
    </row>
    <row r="695" spans="1:5" s="5" customFormat="1" ht="18.75">
      <c r="A695" s="25"/>
      <c r="B695" s="21"/>
      <c r="C695" s="22"/>
      <c r="D695" s="22"/>
      <c r="E695" s="22"/>
    </row>
    <row r="696" spans="1:5" s="5" customFormat="1" ht="18.75">
      <c r="A696" s="25"/>
      <c r="B696" s="21"/>
      <c r="C696" s="22"/>
      <c r="D696" s="22"/>
      <c r="E696" s="22"/>
    </row>
    <row r="697" spans="1:5" s="5" customFormat="1" ht="18.75">
      <c r="A697" s="25"/>
      <c r="B697" s="21"/>
      <c r="C697" s="22"/>
      <c r="D697" s="22"/>
      <c r="E697" s="22"/>
    </row>
    <row r="698" spans="1:5" s="5" customFormat="1" ht="18.75">
      <c r="A698" s="25"/>
      <c r="B698" s="21"/>
      <c r="C698" s="22"/>
      <c r="D698" s="22"/>
      <c r="E698" s="22"/>
    </row>
    <row r="699" spans="1:5" s="5" customFormat="1" ht="18.75">
      <c r="A699" s="25"/>
      <c r="B699" s="21"/>
      <c r="C699" s="22"/>
      <c r="D699" s="22"/>
      <c r="E699" s="22"/>
    </row>
    <row r="700" spans="1:5" s="5" customFormat="1" ht="18.75">
      <c r="A700" s="25"/>
      <c r="B700" s="21"/>
      <c r="C700" s="22"/>
      <c r="D700" s="22"/>
      <c r="E700" s="22"/>
    </row>
    <row r="701" spans="1:5" s="5" customFormat="1" ht="18.75">
      <c r="A701" s="25"/>
      <c r="B701" s="21"/>
      <c r="C701" s="22"/>
      <c r="D701" s="22"/>
      <c r="E701" s="22"/>
    </row>
    <row r="702" spans="1:5" s="5" customFormat="1" ht="18.75">
      <c r="A702" s="25"/>
      <c r="B702" s="21"/>
      <c r="C702" s="22"/>
      <c r="D702" s="22"/>
      <c r="E702" s="22"/>
    </row>
    <row r="703" spans="1:5" s="5" customFormat="1" ht="18.75">
      <c r="A703" s="25"/>
      <c r="B703" s="21"/>
      <c r="C703" s="22"/>
      <c r="D703" s="22"/>
      <c r="E703" s="22"/>
    </row>
    <row r="704" spans="1:5" s="5" customFormat="1" ht="18.75">
      <c r="A704" s="25"/>
      <c r="B704" s="21"/>
      <c r="C704" s="22"/>
      <c r="D704" s="22"/>
      <c r="E704" s="22"/>
    </row>
    <row r="705" spans="1:5" s="5" customFormat="1" ht="18.75">
      <c r="A705" s="25"/>
      <c r="B705" s="21"/>
      <c r="C705" s="22"/>
      <c r="D705" s="22"/>
      <c r="E705" s="22"/>
    </row>
    <row r="706" spans="1:5" s="5" customFormat="1" ht="18.75">
      <c r="A706" s="25"/>
      <c r="B706" s="21"/>
      <c r="C706" s="22"/>
      <c r="D706" s="22"/>
      <c r="E706" s="22"/>
    </row>
    <row r="707" spans="1:5" s="5" customFormat="1" ht="18.75">
      <c r="A707" s="25"/>
      <c r="B707" s="21"/>
      <c r="C707" s="22"/>
      <c r="D707" s="22"/>
      <c r="E707" s="22"/>
    </row>
    <row r="708" spans="1:5" s="5" customFormat="1" ht="18.75">
      <c r="A708" s="25"/>
      <c r="B708" s="21"/>
      <c r="C708" s="22"/>
      <c r="D708" s="22"/>
      <c r="E708" s="22"/>
    </row>
    <row r="709" spans="1:5" s="5" customFormat="1" ht="18.75">
      <c r="A709" s="25"/>
      <c r="B709" s="21"/>
      <c r="C709" s="22"/>
      <c r="D709" s="22"/>
      <c r="E709" s="22"/>
    </row>
    <row r="710" spans="1:5" s="5" customFormat="1" ht="18.75">
      <c r="A710" s="25"/>
      <c r="B710" s="21"/>
      <c r="C710" s="22"/>
      <c r="D710" s="22"/>
      <c r="E710" s="22"/>
    </row>
    <row r="711" spans="1:5" s="5" customFormat="1" ht="18.75">
      <c r="A711" s="25"/>
      <c r="B711" s="21"/>
      <c r="C711" s="22"/>
      <c r="D711" s="22"/>
      <c r="E711" s="22"/>
    </row>
    <row r="712" spans="1:5" s="5" customFormat="1" ht="18.75">
      <c r="A712" s="25"/>
      <c r="B712" s="21"/>
      <c r="C712" s="22"/>
      <c r="D712" s="22"/>
      <c r="E712" s="22"/>
    </row>
    <row r="713" spans="1:5" s="5" customFormat="1" ht="18.75">
      <c r="A713" s="25"/>
      <c r="B713" s="21"/>
      <c r="C713" s="22"/>
      <c r="D713" s="22"/>
      <c r="E713" s="22"/>
    </row>
    <row r="714" spans="1:5" s="5" customFormat="1" ht="18.75">
      <c r="A714" s="25"/>
      <c r="B714" s="21"/>
      <c r="C714" s="22"/>
      <c r="D714" s="22"/>
      <c r="E714" s="22"/>
    </row>
    <row r="715" spans="1:5" s="5" customFormat="1" ht="18.75">
      <c r="A715" s="25"/>
      <c r="B715" s="21"/>
      <c r="C715" s="22"/>
      <c r="D715" s="22"/>
      <c r="E715" s="22"/>
    </row>
    <row r="716" spans="1:5" s="5" customFormat="1" ht="18.75">
      <c r="A716" s="25"/>
      <c r="B716" s="21"/>
      <c r="C716" s="22"/>
      <c r="D716" s="22"/>
      <c r="E716" s="22"/>
    </row>
    <row r="717" spans="1:5" s="5" customFormat="1" ht="18.75">
      <c r="A717" s="25"/>
      <c r="B717" s="21"/>
      <c r="C717" s="22"/>
      <c r="D717" s="22"/>
      <c r="E717" s="22"/>
    </row>
    <row r="718" spans="1:5" s="5" customFormat="1" ht="18.75">
      <c r="A718" s="25"/>
      <c r="B718" s="21"/>
      <c r="C718" s="22"/>
      <c r="D718" s="22"/>
      <c r="E718" s="22"/>
    </row>
    <row r="719" spans="1:5" s="5" customFormat="1" ht="18.75">
      <c r="A719" s="25"/>
      <c r="B719" s="21"/>
      <c r="C719" s="22"/>
      <c r="D719" s="22"/>
      <c r="E719" s="22"/>
    </row>
    <row r="720" spans="1:5" s="5" customFormat="1" ht="18.75">
      <c r="A720" s="25"/>
      <c r="B720" s="21"/>
      <c r="C720" s="22"/>
      <c r="D720" s="22"/>
      <c r="E720" s="22"/>
    </row>
    <row r="721" spans="1:5" s="5" customFormat="1" ht="18.75">
      <c r="A721" s="25"/>
      <c r="B721" s="21"/>
      <c r="C721" s="22"/>
      <c r="D721" s="22"/>
      <c r="E721" s="22"/>
    </row>
    <row r="722" spans="1:5" s="5" customFormat="1" ht="18.75">
      <c r="A722" s="25"/>
      <c r="B722" s="21"/>
      <c r="C722" s="22"/>
      <c r="D722" s="22"/>
      <c r="E722" s="22"/>
    </row>
    <row r="723" spans="1:5" s="5" customFormat="1" ht="18.75">
      <c r="A723" s="25"/>
      <c r="B723" s="21"/>
      <c r="C723" s="22"/>
      <c r="D723" s="22"/>
      <c r="E723" s="22"/>
    </row>
    <row r="724" spans="1:5" s="5" customFormat="1" ht="18.75">
      <c r="A724" s="25"/>
      <c r="B724" s="21"/>
      <c r="C724" s="22"/>
      <c r="D724" s="22"/>
      <c r="E724" s="22"/>
    </row>
    <row r="725" spans="1:5" s="5" customFormat="1" ht="18.75">
      <c r="A725" s="25"/>
      <c r="B725" s="21"/>
      <c r="C725" s="22"/>
      <c r="D725" s="22"/>
      <c r="E725" s="22"/>
    </row>
  </sheetData>
  <mergeCells count="13">
    <mergeCell ref="F1:I1"/>
    <mergeCell ref="A6:I6"/>
    <mergeCell ref="A8:A9"/>
    <mergeCell ref="F2:I2"/>
    <mergeCell ref="F4:I4"/>
    <mergeCell ref="F5:I5"/>
    <mergeCell ref="F8:F9"/>
    <mergeCell ref="G8:I8"/>
    <mergeCell ref="F3:I3"/>
    <mergeCell ref="B8:B9"/>
    <mergeCell ref="C8:C9"/>
    <mergeCell ref="D8:D9"/>
    <mergeCell ref="E8:E9"/>
  </mergeCells>
  <printOptions horizontalCentered="1"/>
  <pageMargins left="0.23" right="0.1968503937007874" top="0.52" bottom="0.58" header="0.34" footer="0.19"/>
  <pageSetup horizontalDpi="600" verticalDpi="600" orientation="portrait" paperSize="9" scale="63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УФиНП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Ерохин</dc:creator>
  <cp:keywords/>
  <dc:description/>
  <cp:lastModifiedBy>neo</cp:lastModifiedBy>
  <cp:lastPrinted>2010-10-01T06:24:11Z</cp:lastPrinted>
  <dcterms:created xsi:type="dcterms:W3CDTF">2005-09-22T03:30:54Z</dcterms:created>
  <dcterms:modified xsi:type="dcterms:W3CDTF">2010-10-01T06:24:14Z</dcterms:modified>
  <cp:category/>
  <cp:version/>
  <cp:contentType/>
  <cp:contentStatus/>
</cp:coreProperties>
</file>